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orzucek\Desktop\"/>
    </mc:Choice>
  </mc:AlternateContent>
  <xr:revisionPtr revIDLastSave="0" documentId="13_ncr:1_{56852D2E-6E32-456B-819B-2B0E86A742CD}" xr6:coauthVersionLast="37" xr6:coauthVersionMax="37" xr10:uidLastSave="{00000000-0000-0000-0000-000000000000}"/>
  <bookViews>
    <workbookView xWindow="0" yWindow="0" windowWidth="14370" windowHeight="7365" xr2:uid="{00000000-000D-0000-FFFF-FFFF00000000}"/>
  </bookViews>
  <sheets>
    <sheet name="Załącznik 2" sheetId="1" r:id="rId1"/>
  </sheets>
  <calcPr calcId="162913"/>
</workbook>
</file>

<file path=xl/calcChain.xml><?xml version="1.0" encoding="utf-8"?>
<calcChain xmlns="http://schemas.openxmlformats.org/spreadsheetml/2006/main">
  <c r="O17" i="1" l="1"/>
  <c r="N17" i="1"/>
  <c r="N4" i="1" s="1"/>
  <c r="M17" i="1"/>
  <c r="L17" i="1"/>
  <c r="L15" i="1" s="1"/>
  <c r="K17" i="1"/>
  <c r="J17" i="1"/>
  <c r="I17" i="1"/>
  <c r="H17" i="1"/>
  <c r="G17" i="1"/>
  <c r="F17" i="1"/>
  <c r="O16" i="1"/>
  <c r="N16" i="1"/>
  <c r="N15" i="1" s="1"/>
  <c r="M16" i="1"/>
  <c r="L16" i="1"/>
  <c r="K16" i="1"/>
  <c r="J16" i="1"/>
  <c r="J15" i="1" s="1"/>
  <c r="I16" i="1"/>
  <c r="H16" i="1"/>
  <c r="G16" i="1"/>
  <c r="F16" i="1"/>
  <c r="F15" i="1" s="1"/>
  <c r="O15" i="1"/>
  <c r="M15" i="1"/>
  <c r="K15" i="1"/>
  <c r="I15" i="1"/>
  <c r="H15" i="1"/>
  <c r="G15" i="1"/>
  <c r="O14" i="1"/>
  <c r="N14" i="1"/>
  <c r="M14" i="1"/>
  <c r="L14" i="1"/>
  <c r="K14" i="1"/>
  <c r="J14" i="1"/>
  <c r="I14" i="1"/>
  <c r="H14" i="1"/>
  <c r="G14" i="1"/>
  <c r="F14" i="1"/>
  <c r="O13" i="1"/>
  <c r="N13" i="1"/>
  <c r="M13" i="1"/>
  <c r="M12" i="1" s="1"/>
  <c r="L13" i="1"/>
  <c r="L12" i="1" s="1"/>
  <c r="K13" i="1"/>
  <c r="J13" i="1"/>
  <c r="I13" i="1"/>
  <c r="I12" i="1" s="1"/>
  <c r="H13" i="1"/>
  <c r="H12" i="1" s="1"/>
  <c r="G13" i="1"/>
  <c r="F13" i="1"/>
  <c r="O12" i="1"/>
  <c r="N12" i="1"/>
  <c r="K12" i="1"/>
  <c r="J12" i="1"/>
  <c r="G12" i="1"/>
  <c r="F12" i="1"/>
  <c r="O9" i="1"/>
  <c r="N9" i="1"/>
  <c r="M9" i="1"/>
  <c r="M4" i="1" s="1"/>
  <c r="L9" i="1"/>
  <c r="L4" i="1" s="1"/>
  <c r="K9" i="1"/>
  <c r="J9" i="1"/>
  <c r="I9" i="1"/>
  <c r="I4" i="1" s="1"/>
  <c r="H9" i="1"/>
  <c r="H4" i="1" s="1"/>
  <c r="G9" i="1"/>
  <c r="F9" i="1"/>
  <c r="O6" i="1"/>
  <c r="O5" i="1" s="1"/>
  <c r="O2" i="1" s="1"/>
  <c r="N6" i="1"/>
  <c r="N5" i="1" s="1"/>
  <c r="N2" i="1" s="1"/>
  <c r="M6" i="1"/>
  <c r="L6" i="1"/>
  <c r="K6" i="1"/>
  <c r="K5" i="1" s="1"/>
  <c r="K2" i="1" s="1"/>
  <c r="J6" i="1"/>
  <c r="J5" i="1" s="1"/>
  <c r="J2" i="1" s="1"/>
  <c r="I6" i="1"/>
  <c r="H6" i="1"/>
  <c r="G6" i="1"/>
  <c r="G5" i="1" s="1"/>
  <c r="G2" i="1" s="1"/>
  <c r="F6" i="1"/>
  <c r="F5" i="1" s="1"/>
  <c r="F2" i="1" s="1"/>
  <c r="M5" i="1"/>
  <c r="L5" i="1"/>
  <c r="I5" i="1"/>
  <c r="I2" i="1" s="1"/>
  <c r="H5" i="1"/>
  <c r="H2" i="1" s="1"/>
  <c r="O4" i="1"/>
  <c r="K4" i="1"/>
  <c r="J4" i="1"/>
  <c r="G4" i="1"/>
  <c r="F4" i="1"/>
  <c r="M3" i="1"/>
  <c r="L3" i="1"/>
  <c r="I3" i="1"/>
  <c r="H3" i="1"/>
  <c r="L2" i="1" l="1"/>
  <c r="M2" i="1"/>
  <c r="F3" i="1"/>
  <c r="J3" i="1"/>
  <c r="N3" i="1"/>
  <c r="G3" i="1"/>
  <c r="K3" i="1"/>
  <c r="O3" i="1"/>
</calcChain>
</file>

<file path=xl/sharedStrings.xml><?xml version="1.0" encoding="utf-8"?>
<sst xmlns="http://schemas.openxmlformats.org/spreadsheetml/2006/main" count="69" uniqueCount="55">
  <si>
    <t>Nazwa i cel</t>
  </si>
  <si>
    <t>Jednostka</t>
  </si>
  <si>
    <t>Od</t>
  </si>
  <si>
    <t>Do</t>
  </si>
  <si>
    <t>Nakłady</t>
  </si>
  <si>
    <t>2018</t>
  </si>
  <si>
    <t>2019</t>
  </si>
  <si>
    <t>2020</t>
  </si>
  <si>
    <t>2021</t>
  </si>
  <si>
    <t>2022</t>
  </si>
  <si>
    <t>2023</t>
  </si>
  <si>
    <t>2024</t>
  </si>
  <si>
    <t>2025</t>
  </si>
  <si>
    <t>Limit zobowiązań</t>
  </si>
  <si>
    <t>1</t>
  </si>
  <si>
    <t>Przedsięwzięcia razem</t>
  </si>
  <si>
    <t>1.a</t>
  </si>
  <si>
    <t xml:space="preserve"> - wydatki bieżące</t>
  </si>
  <si>
    <t>1.b</t>
  </si>
  <si>
    <t xml:space="preserve"> 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</si>
  <si>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</si>
  <si>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późn.zm.):</t>
  </si>
  <si>
    <t>1.1.1</t>
  </si>
  <si>
    <t>1.1.1.1</t>
  </si>
  <si>
    <t xml:space="preserve">Aktywni, kreatywni-(pełno)sprawni w Gminie Maszewo - </t>
  </si>
  <si>
    <t>OŚRODEK POMOCY SPOŁECZNEJ</t>
  </si>
  <si>
    <t>1.1.1.2</t>
  </si>
  <si>
    <t xml:space="preserve">Kontrak samorządowy" Zwiększenie szans edukacyjnych dzieci z niepełosprawościami poprzez relizację dodatkowej oferty edukacyjne i specjalistycznej w Przedzkolu Miejskim w Maszewie" - </t>
  </si>
  <si>
    <t>URZĄD MIEJSKI W MASZEWIE</t>
  </si>
  <si>
    <t>1.1.2</t>
  </si>
  <si>
    <t>1.1.2.1</t>
  </si>
  <si>
    <t xml:space="preserve">Kontrakt Samorządowy "Dostosowanie placówek oświatowych na terenie Gminy Maszewo do potrzeb uczniów niepełnosprawnych" - </t>
  </si>
  <si>
    <t>1.1.2.2</t>
  </si>
  <si>
    <t xml:space="preserve">Przebudowa drogi w Maszewie ulica Adama Mickiewicza - </t>
  </si>
  <si>
    <t>1.2</t>
  </si>
  <si>
    <t>Wydatki na programy, projekty lub zadania związane z umowami partnerstwa publiczno-prywatnego:</t>
  </si>
  <si>
    <t>1.2.1</t>
  </si>
  <si>
    <t>1.2.2</t>
  </si>
  <si>
    <t>1.3</t>
  </si>
  <si>
    <t>Wydatki na programy, projekty lub zadania pozostałe (inne niż wymienione w pkt 1.1 i 1.2):</t>
  </si>
  <si>
    <t>1.3.1</t>
  </si>
  <si>
    <t>1.3.2</t>
  </si>
  <si>
    <t>1.3.2.1</t>
  </si>
  <si>
    <t xml:space="preserve">Budowa dróg powiatowych - </t>
  </si>
  <si>
    <t>1.3.2.2</t>
  </si>
  <si>
    <t xml:space="preserve">Budowa hali sportowo na działce 526 i 1068 przy ul. Szkolnej Maszewie - </t>
  </si>
  <si>
    <t>1.3.2.3</t>
  </si>
  <si>
    <t xml:space="preserve">rozbudowa remizy OSP Dębice - </t>
  </si>
  <si>
    <t>1.3.2.4</t>
  </si>
  <si>
    <t xml:space="preserve">Wymiana pokrycia dachowego na budynku Sz.P.w Maszewie - </t>
  </si>
  <si>
    <t>1.3.2.5</t>
  </si>
  <si>
    <t xml:space="preserve">Wymiana pokrycia dachowego Przedszkole - </t>
  </si>
  <si>
    <t>1.3.2.6</t>
  </si>
  <si>
    <t xml:space="preserve">Zmiana sposobu ogrzewania w Sz.P.Dębice -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</si>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</sst>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8"/>
      <name val="Times New Roman"/>
    </font>
    <font>
      <b/>
      <sz val="8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EAEAEA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/>
    <xf numFmtId="4" fontId="2" fillId="3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vertical="center" wrapText="1"/>
    </xf>
    <xf numFmtId="1" fontId="2" fillId="3" borderId="1" xfId="0" applyNumberFormat="1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 wrapText="1"/>
    </xf>
    <xf numFmtId="4" fontId="1" fillId="4" borderId="1" xfId="0" applyNumberFormat="1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vertical="center"/>
    </xf>
    <xf numFmtId="4" fontId="1" fillId="4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12"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  <dxf>
      <fill>
        <patternFill patternType="solid">
          <bgColor rgb="FFCD5C5C"/>
        </patternFill>
      </fill>
    </dxf>
    <dxf>
      <fill>
        <patternFill patternType="solid">
          <bgColor rgb="FFADFF2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view="pageLayout" zoomScaleNormal="100" workbookViewId="0"/>
  </sheetViews>
  <sheetFormatPr defaultRowHeight="15" x14ac:dyDescent="0.25"/>
  <cols>
    <col min="1" max="1" width="7.140625" customWidth="1"/>
    <col min="2" max="2" width="42.85546875" customWidth="1"/>
    <col min="3" max="3" width="14.28515625" customWidth="1"/>
    <col min="4" max="5" width="11.42578125" customWidth="1"/>
    <col min="6" max="15" width="14.28515625" customWidth="1"/>
  </cols>
  <sheetData>
    <row r="1" spans="1:15" x14ac:dyDescent="0.25">
      <c r="A1" s="1" t="s">
        <v>54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ht="14.25" customHeight="1" x14ac:dyDescent="0.25">
      <c r="A2" s="2" t="s">
        <v>14</v>
      </c>
      <c r="B2" s="3" t="s">
        <v>15</v>
      </c>
      <c r="C2" s="3"/>
      <c r="D2" s="4"/>
      <c r="E2" s="4"/>
      <c r="F2" s="5">
        <f>IF(ISNUMBER(VLOOKUP("1.1",A2:O24,6,FALSE)),VLOOKUP("1.1",A2:O24,6,FALSE),0) + IF(ISNUMBER(VLOOKUP("1.2",A2:O24,6,FALSE)),VLOOKUP("1.2",A2:O24,6,FALSE),0) + IF(ISNUMBER(VLOOKUP("1.3",A2:O24,6,FALSE)),VLOOKUP("1.3",A2:O24,6,FALSE),0)</f>
        <v>6230320.75</v>
      </c>
      <c r="G2" s="5">
        <f>IF(ISNUMBER(VLOOKUP("1.1",A2:O24,7,FALSE)),VLOOKUP("1.1",A2:O24,7,FALSE),0) + IF(ISNUMBER(VLOOKUP("1.2",A2:O24,7,FALSE)),VLOOKUP("1.2",A2:O24,7,FALSE),0) + IF(ISNUMBER(VLOOKUP("1.3",A2:O24,7,FALSE)),VLOOKUP("1.3",A2:O24,7,FALSE),0)</f>
        <v>2181175</v>
      </c>
      <c r="H2" s="5">
        <f>IF(ISNUMBER(VLOOKUP("1.1",A2:O24,8,FALSE)),VLOOKUP("1.1",A2:O24,8,FALSE),0) + IF(ISNUMBER(VLOOKUP("1.2",A2:O24,8,FALSE)),VLOOKUP("1.2",A2:O24,8,FALSE),0) + IF(ISNUMBER(VLOOKUP("1.3",A2:O24,8,FALSE)),VLOOKUP("1.3",A2:O24,8,FALSE),0)</f>
        <v>599389.75</v>
      </c>
      <c r="I2" s="5">
        <f>IF(ISNUMBER(VLOOKUP("1.1",A2:O24,9,FALSE)),VLOOKUP("1.1",A2:O24,9,FALSE),0) + IF(ISNUMBER(VLOOKUP("1.2",A2:O24,9,FALSE)),VLOOKUP("1.2",A2:O24,9,FALSE),0) + IF(ISNUMBER(VLOOKUP("1.3",A2:O24,9,FALSE)),VLOOKUP("1.3",A2:O24,9,FALSE),0)</f>
        <v>402462</v>
      </c>
      <c r="J2" s="5">
        <f>IF(ISNUMBER(VLOOKUP("1.1",A2:O24,10,FALSE)),VLOOKUP("1.1",A2:O24,10,FALSE),0) + IF(ISNUMBER(VLOOKUP("1.2",A2:O24,10,FALSE)),VLOOKUP("1.2",A2:O24,10,FALSE),0) + IF(ISNUMBER(VLOOKUP("1.3",A2:O24,10,FALSE)),VLOOKUP("1.3",A2:O24,10,FALSE),0)</f>
        <v>1073857</v>
      </c>
      <c r="K2" s="5">
        <f>IF(ISNUMBER(VLOOKUP("1.1",A2:O24,11,FALSE)),VLOOKUP("1.1",A2:O24,11,FALSE),0) + IF(ISNUMBER(VLOOKUP("1.2",A2:O24,11,FALSE)),VLOOKUP("1.2",A2:O24,11,FALSE),0) + IF(ISNUMBER(VLOOKUP("1.3",A2:O24,11,FALSE)),VLOOKUP("1.3",A2:O24,11,FALSE),0)</f>
        <v>773375</v>
      </c>
      <c r="L2" s="5">
        <f>IF(ISNUMBER(VLOOKUP("1.1",A2:O24,12,FALSE)),VLOOKUP("1.1",A2:O24,12,FALSE),0) + IF(ISNUMBER(VLOOKUP("1.2",A2:O24,12,FALSE)),VLOOKUP("1.2",A2:O24,12,FALSE),0) + IF(ISNUMBER(VLOOKUP("1.3",A2:O24,12,FALSE)),VLOOKUP("1.3",A2:O24,12,FALSE),0)</f>
        <v>373375</v>
      </c>
      <c r="M2" s="5">
        <f>IF(ISNUMBER(VLOOKUP("1.1",A2:O24,13,FALSE)),VLOOKUP("1.1",A2:O24,13,FALSE),0) + IF(ISNUMBER(VLOOKUP("1.2",A2:O24,13,FALSE)),VLOOKUP("1.2",A2:O24,13,FALSE),0) + IF(ISNUMBER(VLOOKUP("1.3",A2:O24,13,FALSE)),VLOOKUP("1.3",A2:O24,13,FALSE),0)</f>
        <v>338983</v>
      </c>
      <c r="N2" s="5">
        <f>IF(ISNUMBER(VLOOKUP("1.1",A2:O24,14,FALSE)),VLOOKUP("1.1",A2:O24,14,FALSE),0) + IF(ISNUMBER(VLOOKUP("1.2",A2:O24,14,FALSE)),VLOOKUP("1.2",A2:O24,14,FALSE),0) + IF(ISNUMBER(VLOOKUP("1.3",A2:O24,14,FALSE)),VLOOKUP("1.3",A2:O24,14,FALSE),0)</f>
        <v>415254</v>
      </c>
      <c r="O2" s="5">
        <f>IF(ISNUMBER(VLOOKUP("1.1",A2:O24,15,FALSE)),VLOOKUP("1.1",A2:O24,15,FALSE),0) + IF(ISNUMBER(VLOOKUP("1.2",A2:O24,15,FALSE)),VLOOKUP("1.2",A2:O24,15,FALSE),0) + IF(ISNUMBER(VLOOKUP("1.3",A2:O24,15,FALSE)),VLOOKUP("1.3",A2:O24,15,FALSE),0)</f>
        <v>6157870.75</v>
      </c>
    </row>
    <row r="3" spans="1:15" ht="14.25" customHeight="1" x14ac:dyDescent="0.25">
      <c r="A3" s="2" t="s">
        <v>16</v>
      </c>
      <c r="B3" s="3" t="s">
        <v>17</v>
      </c>
      <c r="C3" s="3"/>
      <c r="D3" s="4"/>
      <c r="E3" s="4"/>
      <c r="F3" s="5">
        <f>IF(ISNUMBER(VLOOKUP("1.1.1",A2:O24,6,FALSE)),VLOOKUP("1.1.1",A2:O24,6,FALSE),0) + IF(ISNUMBER(VLOOKUP("1.2.1",A2:O24,6,FALSE)),VLOOKUP("1.2.1",A2:O24,6,FALSE),0) + IF(ISNUMBER(VLOOKUP("1.3.1",A2:O24,6,FALSE)),VLOOKUP("1.3.1",A2:O24,6,FALSE),0)</f>
        <v>410301.75</v>
      </c>
      <c r="G3" s="5">
        <f>IF(ISNUMBER(VLOOKUP("1.1.1",A2:O24,7,FALSE)),VLOOKUP("1.1.1",A2:O24,7,FALSE),0) + IF(ISNUMBER(VLOOKUP("1.2.1",A2:O24,7,FALSE)),VLOOKUP("1.2.1",A2:O24,7,FALSE),0) + IF(ISNUMBER(VLOOKUP("1.3.1",A2:O24,7,FALSE)),VLOOKUP("1.3.1",A2:O24,7,FALSE),0)</f>
        <v>219643</v>
      </c>
      <c r="H3" s="5">
        <f>IF(ISNUMBER(VLOOKUP("1.1.1",A2:O24,8,FALSE)),VLOOKUP("1.1.1",A2:O24,8,FALSE),0) + IF(ISNUMBER(VLOOKUP("1.2.1",A2:O24,8,FALSE)),VLOOKUP("1.2.1",A2:O24,8,FALSE),0) + IF(ISNUMBER(VLOOKUP("1.3.1",A2:O24,8,FALSE)),VLOOKUP("1.3.1",A2:O24,8,FALSE),0)</f>
        <v>190658.75</v>
      </c>
      <c r="I3" s="5">
        <f>IF(ISNUMBER(VLOOKUP("1.1.1",A2:O24,9,FALSE)),VLOOKUP("1.1.1",A2:O24,9,FALSE),0) + IF(ISNUMBER(VLOOKUP("1.2.1",A2:O24,9,FALSE)),VLOOKUP("1.2.1",A2:O24,9,FALSE),0) + IF(ISNUMBER(VLOOKUP("1.3.1",A2:O24,9,FALSE)),VLOOKUP("1.3.1",A2:O24,9,FALSE),0)</f>
        <v>0</v>
      </c>
      <c r="J3" s="5">
        <f>IF(ISNUMBER(VLOOKUP("1.1.1",A2:O24,10,FALSE)),VLOOKUP("1.1.1",A2:O24,10,FALSE),0) + IF(ISNUMBER(VLOOKUP("1.2.1",A2:O24,10,FALSE)),VLOOKUP("1.2.1",A2:O24,10,FALSE),0) + IF(ISNUMBER(VLOOKUP("1.3.1",A2:O24,10,FALSE)),VLOOKUP("1.3.1",A2:O24,10,FALSE),0)</f>
        <v>0</v>
      </c>
      <c r="K3" s="5">
        <f>IF(ISNUMBER(VLOOKUP("1.1.1",A2:O24,11,FALSE)),VLOOKUP("1.1.1",A2:O24,11,FALSE),0) + IF(ISNUMBER(VLOOKUP("1.2.1",A2:O24,11,FALSE)),VLOOKUP("1.2.1",A2:O24,11,FALSE),0) + IF(ISNUMBER(VLOOKUP("1.3.1",A2:O24,11,FALSE)),VLOOKUP("1.3.1",A2:O24,11,FALSE),0)</f>
        <v>0</v>
      </c>
      <c r="L3" s="5">
        <f>IF(ISNUMBER(VLOOKUP("1.1.1",A2:O24,12,FALSE)),VLOOKUP("1.1.1",A2:O24,12,FALSE),0) + IF(ISNUMBER(VLOOKUP("1.2.1",A2:O24,12,FALSE)),VLOOKUP("1.2.1",A2:O24,12,FALSE),0) + IF(ISNUMBER(VLOOKUP("1.3.1",A2:O24,12,FALSE)),VLOOKUP("1.3.1",A2:O24,12,FALSE),0)</f>
        <v>0</v>
      </c>
      <c r="M3" s="5">
        <f>IF(ISNUMBER(VLOOKUP("1.1.1",A2:O24,13,FALSE)),VLOOKUP("1.1.1",A2:O24,13,FALSE),0) + IF(ISNUMBER(VLOOKUP("1.2.1",A2:O24,13,FALSE)),VLOOKUP("1.2.1",A2:O24,13,FALSE),0) + IF(ISNUMBER(VLOOKUP("1.3.1",A2:O24,13,FALSE)),VLOOKUP("1.3.1",A2:O24,13,FALSE),0)</f>
        <v>0</v>
      </c>
      <c r="N3" s="5">
        <f>IF(ISNUMBER(VLOOKUP("1.1.1",A2:O24,14,FALSE)),VLOOKUP("1.1.1",A2:O24,14,FALSE),0) + IF(ISNUMBER(VLOOKUP("1.2.1",A2:O24,14,FALSE)),VLOOKUP("1.2.1",A2:O24,14,FALSE),0) + IF(ISNUMBER(VLOOKUP("1.3.1",A2:O24,14,FALSE)),VLOOKUP("1.3.1",A2:O24,14,FALSE),0)</f>
        <v>0</v>
      </c>
      <c r="O3" s="5">
        <f>IF(ISNUMBER(VLOOKUP("1.1.1",A2:O24,15,FALSE)),VLOOKUP("1.1.1",A2:O24,15,FALSE),0) + IF(ISNUMBER(VLOOKUP("1.2.1",A2:O24,15,FALSE)),VLOOKUP("1.2.1",A2:O24,15,FALSE),0) + IF(ISNUMBER(VLOOKUP("1.3.1",A2:O24,15,FALSE)),VLOOKUP("1.3.1",A2:O24,15,FALSE),0)</f>
        <v>410301.75</v>
      </c>
    </row>
    <row r="4" spans="1:15" ht="14.25" customHeight="1" x14ac:dyDescent="0.25">
      <c r="A4" s="2" t="s">
        <v>18</v>
      </c>
      <c r="B4" s="3" t="s">
        <v>19</v>
      </c>
      <c r="C4" s="3"/>
      <c r="D4" s="4"/>
      <c r="E4" s="4"/>
      <c r="F4" s="5">
        <f>IF(ISNUMBER(VLOOKUP("1.1.2",A2:O24,6,FALSE)),VLOOKUP("1.1.2",A2:O24,6,FALSE),0) + IF(ISNUMBER(VLOOKUP("1.2.2",A2:O24,6,FALSE)),VLOOKUP("1.2.2",A2:O24,6,FALSE),0) + IF(ISNUMBER(VLOOKUP("1.3.2",A2:O24,6,FALSE)),VLOOKUP("1.3.2",A2:O24,6,FALSE),0)</f>
        <v>5820019</v>
      </c>
      <c r="G4" s="5">
        <f>IF(ISNUMBER(VLOOKUP("1.1.2",A2:O24,7,FALSE)),VLOOKUP("1.1.2",A2:O24,7,FALSE),0) + IF(ISNUMBER(VLOOKUP("1.2.2",A2:O24,7,FALSE)),VLOOKUP("1.2.2",A2:O24,7,FALSE),0) + IF(ISNUMBER(VLOOKUP("1.3.2",A2:O24,7,FALSE)),VLOOKUP("1.3.2",A2:O24,7,FALSE),0)</f>
        <v>1961532</v>
      </c>
      <c r="H4" s="5">
        <f>IF(ISNUMBER(VLOOKUP("1.1.2",A2:O24,8,FALSE)),VLOOKUP("1.1.2",A2:O24,8,FALSE),0) + IF(ISNUMBER(VLOOKUP("1.2.2",A2:O24,8,FALSE)),VLOOKUP("1.2.2",A2:O24,8,FALSE),0) + IF(ISNUMBER(VLOOKUP("1.3.2",A2:O24,8,FALSE)),VLOOKUP("1.3.2",A2:O24,8,FALSE),0)</f>
        <v>408731</v>
      </c>
      <c r="I4" s="5">
        <f>IF(ISNUMBER(VLOOKUP("1.1.2",A2:O24,9,FALSE)),VLOOKUP("1.1.2",A2:O24,9,FALSE),0) + IF(ISNUMBER(VLOOKUP("1.2.2",A2:O24,9,FALSE)),VLOOKUP("1.2.2",A2:O24,9,FALSE),0) + IF(ISNUMBER(VLOOKUP("1.3.2",A2:O24,9,FALSE)),VLOOKUP("1.3.2",A2:O24,9,FALSE),0)</f>
        <v>402462</v>
      </c>
      <c r="J4" s="5">
        <f>IF(ISNUMBER(VLOOKUP("1.1.2",A2:O24,10,FALSE)),VLOOKUP("1.1.2",A2:O24,10,FALSE),0) + IF(ISNUMBER(VLOOKUP("1.2.2",A2:O24,10,FALSE)),VLOOKUP("1.2.2",A2:O24,10,FALSE),0) + IF(ISNUMBER(VLOOKUP("1.3.2",A2:O24,10,FALSE)),VLOOKUP("1.3.2",A2:O24,10,FALSE),0)</f>
        <v>1073857</v>
      </c>
      <c r="K4" s="5">
        <f>IF(ISNUMBER(VLOOKUP("1.1.2",A2:O24,11,FALSE)),VLOOKUP("1.1.2",A2:O24,11,FALSE),0) + IF(ISNUMBER(VLOOKUP("1.2.2",A2:O24,11,FALSE)),VLOOKUP("1.2.2",A2:O24,11,FALSE),0) + IF(ISNUMBER(VLOOKUP("1.3.2",A2:O24,11,FALSE)),VLOOKUP("1.3.2",A2:O24,11,FALSE),0)</f>
        <v>773375</v>
      </c>
      <c r="L4" s="5">
        <f>IF(ISNUMBER(VLOOKUP("1.1.2",A2:O24,12,FALSE)),VLOOKUP("1.1.2",A2:O24,12,FALSE),0) + IF(ISNUMBER(VLOOKUP("1.2.2",A2:O24,12,FALSE)),VLOOKUP("1.2.2",A2:O24,12,FALSE),0) + IF(ISNUMBER(VLOOKUP("1.3.2",A2:O24,12,FALSE)),VLOOKUP("1.3.2",A2:O24,12,FALSE),0)</f>
        <v>373375</v>
      </c>
      <c r="M4" s="5">
        <f>IF(ISNUMBER(VLOOKUP("1.1.2",A2:O24,13,FALSE)),VLOOKUP("1.1.2",A2:O24,13,FALSE),0) + IF(ISNUMBER(VLOOKUP("1.2.2",A2:O24,13,FALSE)),VLOOKUP("1.2.2",A2:O24,13,FALSE),0) + IF(ISNUMBER(VLOOKUP("1.3.2",A2:O24,13,FALSE)),VLOOKUP("1.3.2",A2:O24,13,FALSE),0)</f>
        <v>338983</v>
      </c>
      <c r="N4" s="5">
        <f>IF(ISNUMBER(VLOOKUP("1.1.2",A2:O24,14,FALSE)),VLOOKUP("1.1.2",A2:O24,14,FALSE),0) + IF(ISNUMBER(VLOOKUP("1.2.2",A2:O24,14,FALSE)),VLOOKUP("1.2.2",A2:O24,14,FALSE),0) + IF(ISNUMBER(VLOOKUP("1.3.2",A2:O24,14,FALSE)),VLOOKUP("1.3.2",A2:O24,14,FALSE),0)</f>
        <v>415254</v>
      </c>
      <c r="O4" s="5">
        <f>IF(ISNUMBER(VLOOKUP("1.1.2",A2:O24,15,FALSE)),VLOOKUP("1.1.2",A2:O24,15,FALSE),0) + IF(ISNUMBER(VLOOKUP("1.2.2",A2:O24,15,FALSE)),VLOOKUP("1.2.2",A2:O24,15,FALSE),0) + IF(ISNUMBER(VLOOKUP("1.3.2",A2:O24,15,FALSE)),VLOOKUP("1.3.2",A2:O24,15,FALSE),0)</f>
        <v>5747569</v>
      </c>
    </row>
    <row r="5" spans="1:15" ht="65.650000000000006" customHeight="1" x14ac:dyDescent="0.25">
      <c r="A5" s="2" t="s">
        <v>20</v>
      </c>
      <c r="B5" s="3" t="s">
        <v>21</v>
      </c>
      <c r="C5" s="3"/>
      <c r="D5" s="4"/>
      <c r="E5" s="4"/>
      <c r="F5" s="5">
        <f>IF(ISNUMBER(VLOOKUP("1.1.1",A2:O24,6,FALSE)),VLOOKUP("1.1.1",A2:O24,6,FALSE),0) + IF(ISNUMBER(VLOOKUP("1.1.2",A2:O24,6,FALSE)),VLOOKUP("1.1.2",A2:O24,6,FALSE),0)</f>
        <v>1461833.75</v>
      </c>
      <c r="G5" s="5">
        <f>IF(ISNUMBER(VLOOKUP("1.1.1",A2:O24,7,FALSE)),VLOOKUP("1.1.1",A2:O24,7,FALSE),0) + IF(ISNUMBER(VLOOKUP("1.1.2",A2:O24,7,FALSE)),VLOOKUP("1.1.2",A2:O24,7,FALSE),0)</f>
        <v>1222175</v>
      </c>
      <c r="H5" s="5">
        <f>IF(ISNUMBER(VLOOKUP("1.1.1",A2:O24,8,FALSE)),VLOOKUP("1.1.1",A2:O24,8,FALSE),0) + IF(ISNUMBER(VLOOKUP("1.1.2",A2:O24,8,FALSE)),VLOOKUP("1.1.2",A2:O24,8,FALSE),0)</f>
        <v>190658.75</v>
      </c>
      <c r="I5" s="5">
        <f>IF(ISNUMBER(VLOOKUP("1.1.1",A2:O24,9,FALSE)),VLOOKUP("1.1.1",A2:O24,9,FALSE),0) + IF(ISNUMBER(VLOOKUP("1.1.2",A2:O24,9,FALSE)),VLOOKUP("1.1.2",A2:O24,9,FALSE),0)</f>
        <v>0</v>
      </c>
      <c r="J5" s="5">
        <f>IF(ISNUMBER(VLOOKUP("1.1.1",A2:O24,10,FALSE)),VLOOKUP("1.1.1",A2:O24,10,FALSE),0) + IF(ISNUMBER(VLOOKUP("1.1.2",A2:O24,10,FALSE)),VLOOKUP("1.1.2",A2:O24,10,FALSE),0)</f>
        <v>0</v>
      </c>
      <c r="K5" s="5">
        <f>IF(ISNUMBER(VLOOKUP("1.1.1",A2:O24,11,FALSE)),VLOOKUP("1.1.1",A2:O24,11,FALSE),0) + IF(ISNUMBER(VLOOKUP("1.1.2",A2:O24,11,FALSE)),VLOOKUP("1.1.2",A2:O24,11,FALSE),0)</f>
        <v>0</v>
      </c>
      <c r="L5" s="5">
        <f>IF(ISNUMBER(VLOOKUP("1.1.1",A2:O24,12,FALSE)),VLOOKUP("1.1.1",A2:O24,12,FALSE),0) + IF(ISNUMBER(VLOOKUP("1.1.2",A2:O24,12,FALSE)),VLOOKUP("1.1.2",A2:O24,12,FALSE),0)</f>
        <v>0</v>
      </c>
      <c r="M5" s="5">
        <f>IF(ISNUMBER(VLOOKUP("1.1.1",A2:O24,13,FALSE)),VLOOKUP("1.1.1",A2:O24,13,FALSE),0) + IF(ISNUMBER(VLOOKUP("1.1.2",A2:O24,13,FALSE)),VLOOKUP("1.1.2",A2:O24,13,FALSE),0)</f>
        <v>0</v>
      </c>
      <c r="N5" s="5">
        <f>IF(ISNUMBER(VLOOKUP("1.1.1",A2:O24,14,FALSE)),VLOOKUP("1.1.1",A2:O24,14,FALSE),0) + IF(ISNUMBER(VLOOKUP("1.1.2",A2:O24,14,FALSE)),VLOOKUP("1.1.2",A2:O24,14,FALSE),0)</f>
        <v>0</v>
      </c>
      <c r="O5" s="5">
        <f>IF(ISNUMBER(VLOOKUP("1.1.1",A2:O24,15,FALSE)),VLOOKUP("1.1.1",A2:O24,15,FALSE),0) + IF(ISNUMBER(VLOOKUP("1.1.2",A2:O24,15,FALSE)),VLOOKUP("1.1.2",A2:O24,15,FALSE),0)</f>
        <v>1412833.75</v>
      </c>
    </row>
    <row r="6" spans="1:15" ht="14.25" customHeight="1" x14ac:dyDescent="0.25">
      <c r="A6" s="2" t="s">
        <v>22</v>
      </c>
      <c r="B6" s="3" t="s">
        <v>17</v>
      </c>
      <c r="C6" s="3"/>
      <c r="D6" s="4"/>
      <c r="E6" s="4"/>
      <c r="F6" s="5">
        <f>SUMIF(A7:A24, "1.1.1.*", F7:F24)</f>
        <v>410301.75</v>
      </c>
      <c r="G6" s="5">
        <f>SUMIF(A7:A24, "1.1.1.*", G7:G24)</f>
        <v>219643</v>
      </c>
      <c r="H6" s="5">
        <f>SUMIF(A7:A24, "1.1.1.*", H7:H24)</f>
        <v>190658.75</v>
      </c>
      <c r="I6" s="5">
        <f>SUMIF(A7:A24, "1.1.1.*", I7:I24)</f>
        <v>0</v>
      </c>
      <c r="J6" s="5">
        <f>SUMIF(A7:A24, "1.1.1.*", J7:J24)</f>
        <v>0</v>
      </c>
      <c r="K6" s="5">
        <f>SUMIF(A7:A24, "1.1.1.*", K7:K24)</f>
        <v>0</v>
      </c>
      <c r="L6" s="5">
        <f>SUMIF(A7:A24, "1.1.1.*", L7:L24)</f>
        <v>0</v>
      </c>
      <c r="M6" s="5">
        <f>SUMIF(A7:A24, "1.1.1.*", M7:M24)</f>
        <v>0</v>
      </c>
      <c r="N6" s="5">
        <f>SUMIF(A7:A24, "1.1.1.*", N7:N24)</f>
        <v>0</v>
      </c>
      <c r="O6" s="5">
        <f>SUMIF(A7:A24, "1.1.1.*", O7:O24)</f>
        <v>410301.75</v>
      </c>
    </row>
    <row r="7" spans="1:15" ht="27" customHeight="1" x14ac:dyDescent="0.25">
      <c r="A7" s="6" t="s">
        <v>23</v>
      </c>
      <c r="B7" s="7" t="s">
        <v>24</v>
      </c>
      <c r="C7" s="8" t="s">
        <v>25</v>
      </c>
      <c r="D7" s="9">
        <v>2018</v>
      </c>
      <c r="E7" s="9">
        <v>2019</v>
      </c>
      <c r="F7" s="10">
        <v>398693.75</v>
      </c>
      <c r="G7" s="10">
        <v>208035</v>
      </c>
      <c r="H7" s="10">
        <v>190658.75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0">
        <v>398693.75</v>
      </c>
    </row>
    <row r="8" spans="1:15" ht="52.9" customHeight="1" x14ac:dyDescent="0.25">
      <c r="A8" s="6" t="s">
        <v>26</v>
      </c>
      <c r="B8" s="7" t="s">
        <v>27</v>
      </c>
      <c r="C8" s="8" t="s">
        <v>28</v>
      </c>
      <c r="D8" s="9">
        <v>2018</v>
      </c>
      <c r="E8" s="9">
        <v>2018</v>
      </c>
      <c r="F8" s="10">
        <v>11608</v>
      </c>
      <c r="G8" s="10">
        <v>11608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0">
        <v>11608</v>
      </c>
    </row>
    <row r="9" spans="1:15" ht="14.25" customHeight="1" x14ac:dyDescent="0.25">
      <c r="A9" s="2" t="s">
        <v>29</v>
      </c>
      <c r="B9" s="3" t="s">
        <v>19</v>
      </c>
      <c r="C9" s="3"/>
      <c r="D9" s="4"/>
      <c r="E9" s="4"/>
      <c r="F9" s="5">
        <f>SUMIF(A10:A24, "1.1.2.*", F10:F24)</f>
        <v>1051532</v>
      </c>
      <c r="G9" s="5">
        <f>SUMIF(A10:A24, "1.1.2.*", G10:G24)</f>
        <v>1002532</v>
      </c>
      <c r="H9" s="5">
        <f>SUMIF(A10:A24, "1.1.2.*", H10:H24)</f>
        <v>0</v>
      </c>
      <c r="I9" s="5">
        <f>SUMIF(A10:A24, "1.1.2.*", I10:I24)</f>
        <v>0</v>
      </c>
      <c r="J9" s="5">
        <f>SUMIF(A10:A24, "1.1.2.*", J10:J24)</f>
        <v>0</v>
      </c>
      <c r="K9" s="5">
        <f>SUMIF(A10:A24, "1.1.2.*", K10:K24)</f>
        <v>0</v>
      </c>
      <c r="L9" s="5">
        <f>SUMIF(A10:A24, "1.1.2.*", L10:L24)</f>
        <v>0</v>
      </c>
      <c r="M9" s="5">
        <f>SUMIF(A10:A24, "1.1.2.*", M10:M24)</f>
        <v>0</v>
      </c>
      <c r="N9" s="5">
        <f>SUMIF(A10:A24, "1.1.2.*", N10:N24)</f>
        <v>0</v>
      </c>
      <c r="O9" s="5">
        <f>SUMIF(A10:A24, "1.1.2.*", O10:O24)</f>
        <v>1002532</v>
      </c>
    </row>
    <row r="10" spans="1:15" ht="39.950000000000003" customHeight="1" x14ac:dyDescent="0.25">
      <c r="A10" s="6" t="s">
        <v>30</v>
      </c>
      <c r="B10" s="7" t="s">
        <v>31</v>
      </c>
      <c r="C10" s="8" t="s">
        <v>28</v>
      </c>
      <c r="D10" s="9">
        <v>2016</v>
      </c>
      <c r="E10" s="9">
        <v>2018</v>
      </c>
      <c r="F10" s="10">
        <v>330442</v>
      </c>
      <c r="G10" s="10">
        <v>320442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0">
        <v>320442</v>
      </c>
    </row>
    <row r="11" spans="1:15" ht="27" customHeight="1" x14ac:dyDescent="0.25">
      <c r="A11" s="6" t="s">
        <v>32</v>
      </c>
      <c r="B11" s="7" t="s">
        <v>33</v>
      </c>
      <c r="C11" s="8" t="s">
        <v>28</v>
      </c>
      <c r="D11" s="9">
        <v>2016</v>
      </c>
      <c r="E11" s="9">
        <v>2018</v>
      </c>
      <c r="F11" s="10">
        <v>721090</v>
      </c>
      <c r="G11" s="10">
        <v>682090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0">
        <v>682090</v>
      </c>
    </row>
    <row r="12" spans="1:15" ht="27" customHeight="1" x14ac:dyDescent="0.25">
      <c r="A12" s="2" t="s">
        <v>34</v>
      </c>
      <c r="B12" s="3" t="s">
        <v>35</v>
      </c>
      <c r="C12" s="3"/>
      <c r="D12" s="4"/>
      <c r="E12" s="4"/>
      <c r="F12" s="5">
        <f>IF(ISNUMBER(VLOOKUP("1.2.1",A2:O24,6,FALSE)),VLOOKUP("1.2.1",A2:O24,6,FALSE),0) + IF(ISNUMBER(VLOOKUP("1.2.2",A2:O24,6,FALSE)),VLOOKUP("1.2.2",A2:O24,6,FALSE),0)</f>
        <v>0</v>
      </c>
      <c r="G12" s="5">
        <f>IF(ISNUMBER(VLOOKUP("1.2.1",A2:O24,7,FALSE)),VLOOKUP("1.2.1",A2:O24,7,FALSE),0) + IF(ISNUMBER(VLOOKUP("1.2.2",A2:O24,7,FALSE)),VLOOKUP("1.2.2",A2:O24,7,FALSE),0)</f>
        <v>0</v>
      </c>
      <c r="H12" s="5">
        <f>IF(ISNUMBER(VLOOKUP("1.2.1",A2:O24,8,FALSE)),VLOOKUP("1.2.1",A2:O24,8,FALSE),0) + IF(ISNUMBER(VLOOKUP("1.2.2",A2:O24,8,FALSE)),VLOOKUP("1.2.2",A2:O24,8,FALSE),0)</f>
        <v>0</v>
      </c>
      <c r="I12" s="5">
        <f>IF(ISNUMBER(VLOOKUP("1.2.1",A2:O24,9,FALSE)),VLOOKUP("1.2.1",A2:O24,9,FALSE),0) + IF(ISNUMBER(VLOOKUP("1.2.2",A2:O24,9,FALSE)),VLOOKUP("1.2.2",A2:O24,9,FALSE),0)</f>
        <v>0</v>
      </c>
      <c r="J12" s="5">
        <f>IF(ISNUMBER(VLOOKUP("1.2.1",A2:O24,10,FALSE)),VLOOKUP("1.2.1",A2:O24,10,FALSE),0) + IF(ISNUMBER(VLOOKUP("1.2.2",A2:O24,10,FALSE)),VLOOKUP("1.2.2",A2:O24,10,FALSE),0)</f>
        <v>0</v>
      </c>
      <c r="K12" s="5">
        <f>IF(ISNUMBER(VLOOKUP("1.2.1",A2:O24,11,FALSE)),VLOOKUP("1.2.1",A2:O24,11,FALSE),0) + IF(ISNUMBER(VLOOKUP("1.2.2",A2:O24,11,FALSE)),VLOOKUP("1.2.2",A2:O24,11,FALSE),0)</f>
        <v>0</v>
      </c>
      <c r="L12" s="5">
        <f>IF(ISNUMBER(VLOOKUP("1.2.1",A2:O24,12,FALSE)),VLOOKUP("1.2.1",A2:O24,12,FALSE),0) + IF(ISNUMBER(VLOOKUP("1.2.2",A2:O24,12,FALSE)),VLOOKUP("1.2.2",A2:O24,12,FALSE),0)</f>
        <v>0</v>
      </c>
      <c r="M12" s="5">
        <f>IF(ISNUMBER(VLOOKUP("1.2.1",A2:O24,13,FALSE)),VLOOKUP("1.2.1",A2:O24,13,FALSE),0) + IF(ISNUMBER(VLOOKUP("1.2.2",A2:O24,13,FALSE)),VLOOKUP("1.2.2",A2:O24,13,FALSE),0)</f>
        <v>0</v>
      </c>
      <c r="N12" s="5">
        <f>IF(ISNUMBER(VLOOKUP("1.2.1",A2:O24,14,FALSE)),VLOOKUP("1.2.1",A2:O24,14,FALSE),0) + IF(ISNUMBER(VLOOKUP("1.2.2",A2:O24,14,FALSE)),VLOOKUP("1.2.2",A2:O24,14,FALSE),0)</f>
        <v>0</v>
      </c>
      <c r="O12" s="5">
        <f>IF(ISNUMBER(VLOOKUP("1.2.1",A2:O24,15,FALSE)),VLOOKUP("1.2.1",A2:O24,15,FALSE),0) + IF(ISNUMBER(VLOOKUP("1.2.2",A2:O24,15,FALSE)),VLOOKUP("1.2.2",A2:O24,15,FALSE),0)</f>
        <v>0</v>
      </c>
    </row>
    <row r="13" spans="1:15" ht="14.25" customHeight="1" x14ac:dyDescent="0.25">
      <c r="A13" s="2" t="s">
        <v>36</v>
      </c>
      <c r="B13" s="3" t="s">
        <v>17</v>
      </c>
      <c r="C13" s="3"/>
      <c r="D13" s="4"/>
      <c r="E13" s="4"/>
      <c r="F13" s="5">
        <f>SUMIF(A14:A24, "1.2.1.*", F14:F24)</f>
        <v>0</v>
      </c>
      <c r="G13" s="5">
        <f>SUMIF(A14:A24, "1.2.1.*", G14:G24)</f>
        <v>0</v>
      </c>
      <c r="H13" s="5">
        <f>SUMIF(A14:A24, "1.2.1.*", H14:H24)</f>
        <v>0</v>
      </c>
      <c r="I13" s="5">
        <f>SUMIF(A14:A24, "1.2.1.*", I14:I24)</f>
        <v>0</v>
      </c>
      <c r="J13" s="5">
        <f>SUMIF(A14:A24, "1.2.1.*", J14:J24)</f>
        <v>0</v>
      </c>
      <c r="K13" s="5">
        <f>SUMIF(A14:A24, "1.2.1.*", K14:K24)</f>
        <v>0</v>
      </c>
      <c r="L13" s="5">
        <f>SUMIF(A14:A24, "1.2.1.*", L14:L24)</f>
        <v>0</v>
      </c>
      <c r="M13" s="5">
        <f>SUMIF(A14:A24, "1.2.1.*", M14:M24)</f>
        <v>0</v>
      </c>
      <c r="N13" s="5">
        <f>SUMIF(A14:A24, "1.2.1.*", N14:N24)</f>
        <v>0</v>
      </c>
      <c r="O13" s="5">
        <f>SUMIF(A14:A24, "1.2.1.*", O14:O24)</f>
        <v>0</v>
      </c>
    </row>
    <row r="14" spans="1:15" ht="14.25" customHeight="1" x14ac:dyDescent="0.25">
      <c r="A14" s="2" t="s">
        <v>37</v>
      </c>
      <c r="B14" s="3" t="s">
        <v>19</v>
      </c>
      <c r="C14" s="3"/>
      <c r="D14" s="4"/>
      <c r="E14" s="4"/>
      <c r="F14" s="5">
        <f>SUMIF(A15:A24, "1.2.2.*", F15:F24)</f>
        <v>0</v>
      </c>
      <c r="G14" s="5">
        <f>SUMIF(A15:A24, "1.2.2.*", G15:G24)</f>
        <v>0</v>
      </c>
      <c r="H14" s="5">
        <f>SUMIF(A15:A24, "1.2.2.*", H15:H24)</f>
        <v>0</v>
      </c>
      <c r="I14" s="5">
        <f>SUMIF(A15:A24, "1.2.2.*", I15:I24)</f>
        <v>0</v>
      </c>
      <c r="J14" s="5">
        <f>SUMIF(A15:A24, "1.2.2.*", J15:J24)</f>
        <v>0</v>
      </c>
      <c r="K14" s="5">
        <f>SUMIF(A15:A24, "1.2.2.*", K15:K24)</f>
        <v>0</v>
      </c>
      <c r="L14" s="5">
        <f>SUMIF(A15:A24, "1.2.2.*", L15:L24)</f>
        <v>0</v>
      </c>
      <c r="M14" s="5">
        <f>SUMIF(A15:A24, "1.2.2.*", M15:M24)</f>
        <v>0</v>
      </c>
      <c r="N14" s="5">
        <f>SUMIF(A15:A24, "1.2.2.*", N15:N24)</f>
        <v>0</v>
      </c>
      <c r="O14" s="5">
        <f>SUMIF(A15:A24, "1.2.2.*", O15:O24)</f>
        <v>0</v>
      </c>
    </row>
    <row r="15" spans="1:15" ht="27" customHeight="1" x14ac:dyDescent="0.25">
      <c r="A15" s="2" t="s">
        <v>38</v>
      </c>
      <c r="B15" s="3" t="s">
        <v>39</v>
      </c>
      <c r="C15" s="3"/>
      <c r="D15" s="4"/>
      <c r="E15" s="4"/>
      <c r="F15" s="5">
        <f>IF(ISNUMBER(VLOOKUP("1.3.1",A2:O24,6,FALSE)),VLOOKUP("1.3.1",A2:O24,6,FALSE),0) + IF(ISNUMBER(VLOOKUP("1.3.2",A2:O24,6,FALSE)),VLOOKUP("1.3.2",A2:O24,6,FALSE),0)</f>
        <v>4768487</v>
      </c>
      <c r="G15" s="5">
        <f>IF(ISNUMBER(VLOOKUP("1.3.1",A2:O24,7,FALSE)),VLOOKUP("1.3.1",A2:O24,7,FALSE),0) + IF(ISNUMBER(VLOOKUP("1.3.2",A2:O24,7,FALSE)),VLOOKUP("1.3.2",A2:O24,7,FALSE),0)</f>
        <v>959000</v>
      </c>
      <c r="H15" s="5">
        <f>IF(ISNUMBER(VLOOKUP("1.3.1",A2:O24,8,FALSE)),VLOOKUP("1.3.1",A2:O24,8,FALSE),0) + IF(ISNUMBER(VLOOKUP("1.3.2",A2:O24,8,FALSE)),VLOOKUP("1.3.2",A2:O24,8,FALSE),0)</f>
        <v>408731</v>
      </c>
      <c r="I15" s="5">
        <f>IF(ISNUMBER(VLOOKUP("1.3.1",A2:O24,9,FALSE)),VLOOKUP("1.3.1",A2:O24,9,FALSE),0) + IF(ISNUMBER(VLOOKUP("1.3.2",A2:O24,9,FALSE)),VLOOKUP("1.3.2",A2:O24,9,FALSE),0)</f>
        <v>402462</v>
      </c>
      <c r="J15" s="5">
        <f>IF(ISNUMBER(VLOOKUP("1.3.1",A2:O24,10,FALSE)),VLOOKUP("1.3.1",A2:O24,10,FALSE),0) + IF(ISNUMBER(VLOOKUP("1.3.2",A2:O24,10,FALSE)),VLOOKUP("1.3.2",A2:O24,10,FALSE),0)</f>
        <v>1073857</v>
      </c>
      <c r="K15" s="5">
        <f>IF(ISNUMBER(VLOOKUP("1.3.1",A2:O24,11,FALSE)),VLOOKUP("1.3.1",A2:O24,11,FALSE),0) + IF(ISNUMBER(VLOOKUP("1.3.2",A2:O24,11,FALSE)),VLOOKUP("1.3.2",A2:O24,11,FALSE),0)</f>
        <v>773375</v>
      </c>
      <c r="L15" s="5">
        <f>IF(ISNUMBER(VLOOKUP("1.3.1",A2:O24,12,FALSE)),VLOOKUP("1.3.1",A2:O24,12,FALSE),0) + IF(ISNUMBER(VLOOKUP("1.3.2",A2:O24,12,FALSE)),VLOOKUP("1.3.2",A2:O24,12,FALSE),0)</f>
        <v>373375</v>
      </c>
      <c r="M15" s="5">
        <f>IF(ISNUMBER(VLOOKUP("1.3.1",A2:O24,13,FALSE)),VLOOKUP("1.3.1",A2:O24,13,FALSE),0) + IF(ISNUMBER(VLOOKUP("1.3.2",A2:O24,13,FALSE)),VLOOKUP("1.3.2",A2:O24,13,FALSE),0)</f>
        <v>338983</v>
      </c>
      <c r="N15" s="5">
        <f>IF(ISNUMBER(VLOOKUP("1.3.1",A2:O24,14,FALSE)),VLOOKUP("1.3.1",A2:O24,14,FALSE),0) + IF(ISNUMBER(VLOOKUP("1.3.2",A2:O24,14,FALSE)),VLOOKUP("1.3.2",A2:O24,14,FALSE),0)</f>
        <v>415254</v>
      </c>
      <c r="O15" s="5">
        <f>IF(ISNUMBER(VLOOKUP("1.3.1",A2:O24,15,FALSE)),VLOOKUP("1.3.1",A2:O24,15,FALSE),0) + IF(ISNUMBER(VLOOKUP("1.3.2",A2:O24,15,FALSE)),VLOOKUP("1.3.2",A2:O24,15,FALSE),0)</f>
        <v>4745037</v>
      </c>
    </row>
    <row r="16" spans="1:15" ht="14.25" customHeight="1" x14ac:dyDescent="0.25">
      <c r="A16" s="2" t="s">
        <v>40</v>
      </c>
      <c r="B16" s="3" t="s">
        <v>17</v>
      </c>
      <c r="C16" s="3"/>
      <c r="D16" s="4"/>
      <c r="E16" s="4"/>
      <c r="F16" s="5">
        <f>SUMIF(A17:A24, "1.3.1.*", F17:F24)</f>
        <v>0</v>
      </c>
      <c r="G16" s="5">
        <f>SUMIF(A17:A24, "1.3.1.*", G17:G24)</f>
        <v>0</v>
      </c>
      <c r="H16" s="5">
        <f>SUMIF(A17:A24, "1.3.1.*", H17:H24)</f>
        <v>0</v>
      </c>
      <c r="I16" s="5">
        <f>SUMIF(A17:A24, "1.3.1.*", I17:I24)</f>
        <v>0</v>
      </c>
      <c r="J16" s="5">
        <f>SUMIF(A17:A24, "1.3.1.*", J17:J24)</f>
        <v>0</v>
      </c>
      <c r="K16" s="5">
        <f>SUMIF(A17:A24, "1.3.1.*", K17:K24)</f>
        <v>0</v>
      </c>
      <c r="L16" s="5">
        <f>SUMIF(A17:A24, "1.3.1.*", L17:L24)</f>
        <v>0</v>
      </c>
      <c r="M16" s="5">
        <f>SUMIF(A17:A24, "1.3.1.*", M17:M24)</f>
        <v>0</v>
      </c>
      <c r="N16" s="5">
        <f>SUMIF(A17:A24, "1.3.1.*", N17:N24)</f>
        <v>0</v>
      </c>
      <c r="O16" s="5">
        <f>SUMIF(A17:A24, "1.3.1.*", O17:O24)</f>
        <v>0</v>
      </c>
    </row>
    <row r="17" spans="1:15" ht="14.25" customHeight="1" x14ac:dyDescent="0.25">
      <c r="A17" s="2" t="s">
        <v>41</v>
      </c>
      <c r="B17" s="3" t="s">
        <v>19</v>
      </c>
      <c r="C17" s="3"/>
      <c r="D17" s="4"/>
      <c r="E17" s="4"/>
      <c r="F17" s="5">
        <f>SUMIF(A18:A24, "1.3.2.*", F18:F24)</f>
        <v>4768487</v>
      </c>
      <c r="G17" s="5">
        <f>SUMIF(A18:A24, "1.3.2.*", G18:G24)</f>
        <v>959000</v>
      </c>
      <c r="H17" s="5">
        <f>SUMIF(A18:A24, "1.3.2.*", H18:H24)</f>
        <v>408731</v>
      </c>
      <c r="I17" s="5">
        <f>SUMIF(A18:A24, "1.3.2.*", I18:I24)</f>
        <v>402462</v>
      </c>
      <c r="J17" s="5">
        <f>SUMIF(A18:A24, "1.3.2.*", J18:J24)</f>
        <v>1073857</v>
      </c>
      <c r="K17" s="5">
        <f>SUMIF(A18:A24, "1.3.2.*", K18:K24)</f>
        <v>773375</v>
      </c>
      <c r="L17" s="5">
        <f>SUMIF(A18:A24, "1.3.2.*", L18:L24)</f>
        <v>373375</v>
      </c>
      <c r="M17" s="5">
        <f>SUMIF(A18:A24, "1.3.2.*", M18:M24)</f>
        <v>338983</v>
      </c>
      <c r="N17" s="5">
        <f>SUMIF(A18:A24, "1.3.2.*", N18:N24)</f>
        <v>415254</v>
      </c>
      <c r="O17" s="5">
        <f>SUMIF(A18:A24, "1.3.2.*", O18:O24)</f>
        <v>4745037</v>
      </c>
    </row>
    <row r="18" spans="1:15" ht="27" customHeight="1" x14ac:dyDescent="0.25">
      <c r="A18" s="6" t="s">
        <v>42</v>
      </c>
      <c r="B18" s="7" t="s">
        <v>43</v>
      </c>
      <c r="C18" s="8" t="s">
        <v>28</v>
      </c>
      <c r="D18" s="9">
        <v>2018</v>
      </c>
      <c r="E18" s="9">
        <v>2020</v>
      </c>
      <c r="F18" s="10">
        <v>50000</v>
      </c>
      <c r="G18" s="10">
        <v>50000</v>
      </c>
      <c r="H18" s="10">
        <v>0</v>
      </c>
      <c r="I18" s="10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0">
        <v>50000</v>
      </c>
    </row>
    <row r="19" spans="1:15" ht="27" customHeight="1" x14ac:dyDescent="0.25">
      <c r="A19" s="6" t="s">
        <v>44</v>
      </c>
      <c r="B19" s="7" t="s">
        <v>45</v>
      </c>
      <c r="C19" s="8" t="s">
        <v>28</v>
      </c>
      <c r="D19" s="9">
        <v>2012</v>
      </c>
      <c r="E19" s="9">
        <v>2025</v>
      </c>
      <c r="F19" s="10">
        <v>3101037</v>
      </c>
      <c r="G19" s="10">
        <v>415000</v>
      </c>
      <c r="H19" s="10">
        <v>408731</v>
      </c>
      <c r="I19" s="10">
        <v>402462</v>
      </c>
      <c r="J19" s="10">
        <v>373857</v>
      </c>
      <c r="K19" s="10">
        <v>373375</v>
      </c>
      <c r="L19" s="10">
        <v>373375</v>
      </c>
      <c r="M19" s="10">
        <v>338983</v>
      </c>
      <c r="N19" s="10">
        <v>415254</v>
      </c>
      <c r="O19" s="10">
        <v>3101037</v>
      </c>
    </row>
    <row r="20" spans="1:15" ht="27" customHeight="1" x14ac:dyDescent="0.25">
      <c r="A20" s="6" t="s">
        <v>46</v>
      </c>
      <c r="B20" s="7" t="s">
        <v>47</v>
      </c>
      <c r="C20" s="8" t="s">
        <v>28</v>
      </c>
      <c r="D20" s="9">
        <v>2016</v>
      </c>
      <c r="E20" s="9">
        <v>2018</v>
      </c>
      <c r="F20" s="10">
        <v>517450</v>
      </c>
      <c r="G20" s="10">
        <v>494000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0">
        <v>494000</v>
      </c>
    </row>
    <row r="21" spans="1:15" ht="27" customHeight="1" x14ac:dyDescent="0.25">
      <c r="A21" s="6" t="s">
        <v>48</v>
      </c>
      <c r="B21" s="7" t="s">
        <v>49</v>
      </c>
      <c r="C21" s="8" t="s">
        <v>28</v>
      </c>
      <c r="D21" s="9">
        <v>2018</v>
      </c>
      <c r="E21" s="9">
        <v>2021</v>
      </c>
      <c r="F21" s="10">
        <v>400000</v>
      </c>
      <c r="G21" s="10">
        <v>0</v>
      </c>
      <c r="H21" s="10">
        <v>0</v>
      </c>
      <c r="I21" s="10">
        <v>0</v>
      </c>
      <c r="J21" s="10">
        <v>400000</v>
      </c>
      <c r="K21" s="11">
        <v>0</v>
      </c>
      <c r="L21" s="11">
        <v>0</v>
      </c>
      <c r="M21" s="11">
        <v>0</v>
      </c>
      <c r="N21" s="11">
        <v>0</v>
      </c>
      <c r="O21" s="10">
        <v>400000</v>
      </c>
    </row>
    <row r="22" spans="1:15" ht="27" customHeight="1" x14ac:dyDescent="0.25">
      <c r="A22" s="6" t="s">
        <v>50</v>
      </c>
      <c r="B22" s="7" t="s">
        <v>51</v>
      </c>
      <c r="C22" s="8" t="s">
        <v>28</v>
      </c>
      <c r="D22" s="9">
        <v>2018</v>
      </c>
      <c r="E22" s="9">
        <v>2021</v>
      </c>
      <c r="F22" s="10">
        <v>300000</v>
      </c>
      <c r="G22" s="10">
        <v>0</v>
      </c>
      <c r="H22" s="10">
        <v>0</v>
      </c>
      <c r="I22" s="10">
        <v>0</v>
      </c>
      <c r="J22" s="10">
        <v>300000</v>
      </c>
      <c r="K22" s="11">
        <v>0</v>
      </c>
      <c r="L22" s="11">
        <v>0</v>
      </c>
      <c r="M22" s="11">
        <v>0</v>
      </c>
      <c r="N22" s="11">
        <v>0</v>
      </c>
      <c r="O22" s="10">
        <v>300000</v>
      </c>
    </row>
    <row r="23" spans="1:15" ht="27" customHeight="1" x14ac:dyDescent="0.25">
      <c r="A23" s="6" t="s">
        <v>52</v>
      </c>
      <c r="B23" s="7" t="s">
        <v>53</v>
      </c>
      <c r="C23" s="8" t="s">
        <v>28</v>
      </c>
      <c r="D23" s="9">
        <v>2018</v>
      </c>
      <c r="E23" s="9">
        <v>2022</v>
      </c>
      <c r="F23" s="10">
        <v>400000</v>
      </c>
      <c r="G23" s="10">
        <v>0</v>
      </c>
      <c r="H23" s="10">
        <v>0</v>
      </c>
      <c r="I23" s="10">
        <v>0</v>
      </c>
      <c r="J23" s="10">
        <v>0</v>
      </c>
      <c r="K23" s="10">
        <v>400000</v>
      </c>
      <c r="L23" s="11">
        <v>0</v>
      </c>
      <c r="M23" s="11">
        <v>0</v>
      </c>
      <c r="N23" s="11">
        <v>0</v>
      </c>
      <c r="O23" s="10">
        <v>400000</v>
      </c>
    </row>
  </sheetData>
  <conditionalFormatting sqref="B6:O6">
    <cfRule type="beginsWith" dxfId="11" priority="1" operator="beginsWith" text="Tak">
      <formula>LEFT(B6,LEN("Tak"))="Tak"</formula>
    </cfRule>
    <cfRule type="beginsWith" dxfId="10" priority="2" operator="beginsWith" text="Nie">
      <formula>LEFT(B6,LEN("Nie"))="Nie"</formula>
    </cfRule>
  </conditionalFormatting>
  <conditionalFormatting sqref="B9:O9">
    <cfRule type="beginsWith" dxfId="9" priority="3" operator="beginsWith" text="Tak">
      <formula>LEFT(B9,LEN("Tak"))="Tak"</formula>
    </cfRule>
    <cfRule type="beginsWith" dxfId="8" priority="4" operator="beginsWith" text="Nie">
      <formula>LEFT(B9,LEN("Nie"))="Nie"</formula>
    </cfRule>
  </conditionalFormatting>
  <conditionalFormatting sqref="B13:O13">
    <cfRule type="beginsWith" dxfId="7" priority="5" operator="beginsWith" text="Tak">
      <formula>LEFT(B13,LEN("Tak"))="Tak"</formula>
    </cfRule>
    <cfRule type="beginsWith" dxfId="6" priority="6" operator="beginsWith" text="Nie">
      <formula>LEFT(B13,LEN("Nie"))="Nie"</formula>
    </cfRule>
  </conditionalFormatting>
  <conditionalFormatting sqref="B14:O14">
    <cfRule type="beginsWith" dxfId="5" priority="7" operator="beginsWith" text="Tak">
      <formula>LEFT(B14,LEN("Tak"))="Tak"</formula>
    </cfRule>
    <cfRule type="beginsWith" dxfId="4" priority="8" operator="beginsWith" text="Nie">
      <formula>LEFT(B14,LEN("Nie"))="Nie"</formula>
    </cfRule>
  </conditionalFormatting>
  <conditionalFormatting sqref="B16:O16">
    <cfRule type="beginsWith" dxfId="3" priority="9" operator="beginsWith" text="Tak">
      <formula>LEFT(B16,LEN("Tak"))="Tak"</formula>
    </cfRule>
    <cfRule type="beginsWith" dxfId="2" priority="10" operator="beginsWith" text="Nie">
      <formula>LEFT(B16,LEN("Nie"))="Nie"</formula>
    </cfRule>
  </conditionalFormatting>
  <conditionalFormatting sqref="B17:O17">
    <cfRule type="beginsWith" dxfId="1" priority="11" operator="beginsWith" text="Tak">
      <formula>LEFT(B17,LEN("Tak"))="Tak"</formula>
    </cfRule>
    <cfRule type="beginsWith" dxfId="0" priority="12" operator="beginsWith" text="Nie">
      <formula>LEFT(B17,LEN("Nie"))="Nie"</formula>
    </cfRule>
  </conditionalFormatting>
  <pageMargins left="0.62992125984251968" right="0.43307086614173229" top="0.94488188976377963" bottom="0.74803149606299213" header="0.31496062992125984" footer="0.31496062992125984"/>
  <pageSetup paperSize="8" scale="85" orientation="landscape" r:id="rId1"/>
  <headerFooter>
    <oddHeader xml:space="preserve">&amp;R&amp;8Załącznik Nr 2 do Uchwały Nr XXXIV/  240/2018
Rady Miejskiej w Maszewie
 z dnia  17.10.2018 r.&amp;11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Wieloletnia prognoza finansowa</dc:title>
  <dc:subject>WPF Asystent - Załącznik 2</dc:subject>
  <dc:creator>http://www.curulis.pl</dc:creator>
  <cp:keywords>wpf, curulis, wieloletnia prognoza finansowa, wpf asystent</cp:keywords>
  <cp:lastModifiedBy>Monika Ostapczuk</cp:lastModifiedBy>
  <cp:lastPrinted>2018-10-19T10:41:24Z</cp:lastPrinted>
  <dcterms:created xsi:type="dcterms:W3CDTF">2018-10-08T12:45:54Z</dcterms:created>
  <dcterms:modified xsi:type="dcterms:W3CDTF">2018-10-19T10:58:37Z</dcterms:modified>
</cp:coreProperties>
</file>