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mporzucek\Desktop\"/>
    </mc:Choice>
  </mc:AlternateContent>
  <xr:revisionPtr revIDLastSave="0" documentId="13_ncr:1_{5EF98943-250C-4B68-B4B7-E85470A75A9F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Załącznik 1" sheetId="1" r:id="rId1"/>
  </sheets>
  <calcPr calcId="162913"/>
</workbook>
</file>

<file path=xl/calcChain.xml><?xml version="1.0" encoding="utf-8"?>
<calcChain xmlns="http://schemas.openxmlformats.org/spreadsheetml/2006/main">
  <c r="N102" i="1" l="1"/>
  <c r="M102" i="1"/>
  <c r="L102" i="1"/>
  <c r="K102" i="1"/>
  <c r="J102" i="1"/>
  <c r="I102" i="1"/>
  <c r="H102" i="1"/>
  <c r="G102" i="1"/>
  <c r="F102" i="1"/>
  <c r="E102" i="1"/>
  <c r="D102" i="1"/>
  <c r="C102" i="1"/>
  <c r="N83" i="1"/>
  <c r="M83" i="1"/>
  <c r="L83" i="1"/>
  <c r="K83" i="1"/>
  <c r="J83" i="1"/>
  <c r="I83" i="1"/>
  <c r="H83" i="1"/>
  <c r="G83" i="1"/>
  <c r="F83" i="1"/>
  <c r="E83" i="1"/>
  <c r="D83" i="1"/>
  <c r="C83" i="1"/>
  <c r="N63" i="1"/>
  <c r="M63" i="1"/>
  <c r="L63" i="1"/>
  <c r="K63" i="1"/>
  <c r="J63" i="1"/>
  <c r="I63" i="1"/>
  <c r="H63" i="1"/>
  <c r="G63" i="1"/>
  <c r="F63" i="1"/>
  <c r="E63" i="1"/>
  <c r="D63" i="1"/>
  <c r="C63" i="1"/>
  <c r="F55" i="1"/>
  <c r="E55" i="1"/>
  <c r="D55" i="1"/>
  <c r="C55" i="1"/>
  <c r="F54" i="1"/>
  <c r="E54" i="1"/>
  <c r="D54" i="1"/>
  <c r="C54" i="1"/>
  <c r="N38" i="1"/>
  <c r="M38" i="1"/>
  <c r="L38" i="1"/>
  <c r="K38" i="1"/>
  <c r="J38" i="1"/>
  <c r="I38" i="1"/>
  <c r="H38" i="1"/>
  <c r="G38" i="1"/>
  <c r="F38" i="1"/>
  <c r="E38" i="1"/>
  <c r="D38" i="1"/>
  <c r="C38" i="1"/>
  <c r="N36" i="1"/>
  <c r="M36" i="1"/>
  <c r="L36" i="1"/>
  <c r="K36" i="1"/>
  <c r="J36" i="1"/>
  <c r="I36" i="1"/>
  <c r="H36" i="1"/>
  <c r="G36" i="1"/>
  <c r="F36" i="1"/>
  <c r="E36" i="1"/>
  <c r="D36" i="1"/>
  <c r="C36" i="1"/>
  <c r="N27" i="1"/>
  <c r="M27" i="1"/>
  <c r="L27" i="1"/>
  <c r="K27" i="1"/>
  <c r="J27" i="1"/>
  <c r="I27" i="1"/>
  <c r="H27" i="1"/>
  <c r="G27" i="1"/>
  <c r="F27" i="1"/>
  <c r="E27" i="1"/>
  <c r="D27" i="1"/>
  <c r="C27" i="1"/>
  <c r="N25" i="1"/>
  <c r="M25" i="1"/>
  <c r="L25" i="1"/>
  <c r="K25" i="1"/>
  <c r="J25" i="1"/>
  <c r="I25" i="1"/>
  <c r="H25" i="1"/>
  <c r="G25" i="1"/>
  <c r="F25" i="1"/>
  <c r="E25" i="1"/>
  <c r="D25" i="1"/>
  <c r="C25" i="1"/>
  <c r="N16" i="1"/>
  <c r="M16" i="1"/>
  <c r="L16" i="1"/>
  <c r="K16" i="1"/>
  <c r="J16" i="1"/>
  <c r="I16" i="1"/>
  <c r="H16" i="1"/>
  <c r="G16" i="1"/>
  <c r="F16" i="1"/>
  <c r="E16" i="1"/>
  <c r="D16" i="1"/>
  <c r="C16" i="1"/>
  <c r="N15" i="1"/>
  <c r="M15" i="1"/>
  <c r="L15" i="1"/>
  <c r="K15" i="1"/>
  <c r="J15" i="1"/>
  <c r="I15" i="1"/>
  <c r="H15" i="1"/>
  <c r="G15" i="1"/>
  <c r="F15" i="1"/>
  <c r="E15" i="1"/>
  <c r="D15" i="1"/>
  <c r="C15" i="1"/>
  <c r="N11" i="1"/>
  <c r="M11" i="1"/>
  <c r="L11" i="1"/>
  <c r="K11" i="1"/>
  <c r="J11" i="1"/>
  <c r="I11" i="1"/>
  <c r="H11" i="1"/>
  <c r="G11" i="1"/>
  <c r="F11" i="1"/>
  <c r="E11" i="1"/>
  <c r="D11" i="1"/>
  <c r="C11" i="1"/>
  <c r="N3" i="1"/>
  <c r="N112" i="1" s="1"/>
  <c r="M3" i="1"/>
  <c r="M112" i="1" s="1"/>
  <c r="L3" i="1"/>
  <c r="L112" i="1" s="1"/>
  <c r="K3" i="1"/>
  <c r="K112" i="1" s="1"/>
  <c r="J3" i="1"/>
  <c r="J112" i="1" s="1"/>
  <c r="I3" i="1"/>
  <c r="I112" i="1" s="1"/>
  <c r="H3" i="1"/>
  <c r="H112" i="1" s="1"/>
  <c r="G3" i="1"/>
  <c r="G112" i="1" s="1"/>
  <c r="F3" i="1"/>
  <c r="F112" i="1" s="1"/>
  <c r="E3" i="1"/>
  <c r="E112" i="1" s="1"/>
  <c r="D3" i="1"/>
  <c r="D2" i="1" s="1"/>
  <c r="C3" i="1"/>
  <c r="C47" i="1" s="1"/>
  <c r="N2" i="1"/>
  <c r="N49" i="1" s="1"/>
  <c r="M2" i="1"/>
  <c r="M49" i="1" s="1"/>
  <c r="L2" i="1"/>
  <c r="L49" i="1" s="1"/>
  <c r="K2" i="1"/>
  <c r="K49" i="1" s="1"/>
  <c r="J2" i="1"/>
  <c r="J49" i="1" s="1"/>
  <c r="I2" i="1"/>
  <c r="I49" i="1" s="1"/>
  <c r="H2" i="1"/>
  <c r="H49" i="1" s="1"/>
  <c r="G2" i="1"/>
  <c r="G26" i="1" s="1"/>
  <c r="F2" i="1"/>
  <c r="F49" i="1" s="1"/>
  <c r="E2" i="1"/>
  <c r="E49" i="1" s="1"/>
  <c r="K52" i="1" l="1"/>
  <c r="C2" i="1"/>
  <c r="C49" i="1" s="1"/>
  <c r="H52" i="1"/>
  <c r="E52" i="1"/>
  <c r="E57" i="1" s="1"/>
  <c r="I52" i="1"/>
  <c r="M52" i="1"/>
  <c r="C50" i="1"/>
  <c r="G50" i="1"/>
  <c r="L52" i="1"/>
  <c r="F52" i="1"/>
  <c r="J52" i="1"/>
  <c r="N52" i="1"/>
  <c r="D49" i="1"/>
  <c r="D26" i="1"/>
  <c r="D52" i="1"/>
  <c r="D113" i="1" s="1"/>
  <c r="G115" i="1"/>
  <c r="G59" i="1"/>
  <c r="G58" i="1"/>
  <c r="F57" i="1"/>
  <c r="F56" i="1"/>
  <c r="F113" i="1"/>
  <c r="F114" i="1"/>
  <c r="C26" i="1"/>
  <c r="K26" i="1"/>
  <c r="G46" i="1"/>
  <c r="K47" i="1"/>
  <c r="G49" i="1"/>
  <c r="K50" i="1"/>
  <c r="G52" i="1"/>
  <c r="G53" i="1"/>
  <c r="H26" i="1"/>
  <c r="L26" i="1"/>
  <c r="D46" i="1"/>
  <c r="H46" i="1"/>
  <c r="L46" i="1"/>
  <c r="D47" i="1"/>
  <c r="H47" i="1"/>
  <c r="L47" i="1"/>
  <c r="D50" i="1"/>
  <c r="H50" i="1"/>
  <c r="L50" i="1"/>
  <c r="D53" i="1"/>
  <c r="H53" i="1"/>
  <c r="L53" i="1"/>
  <c r="D112" i="1"/>
  <c r="K46" i="1"/>
  <c r="G47" i="1"/>
  <c r="C52" i="1"/>
  <c r="C113" i="1" s="1"/>
  <c r="C53" i="1"/>
  <c r="K53" i="1"/>
  <c r="C112" i="1"/>
  <c r="E26" i="1"/>
  <c r="I26" i="1"/>
  <c r="M26" i="1"/>
  <c r="E46" i="1"/>
  <c r="I46" i="1"/>
  <c r="M46" i="1"/>
  <c r="E47" i="1"/>
  <c r="I47" i="1"/>
  <c r="M47" i="1"/>
  <c r="E50" i="1"/>
  <c r="I50" i="1"/>
  <c r="M50" i="1"/>
  <c r="E53" i="1"/>
  <c r="I53" i="1"/>
  <c r="M53" i="1"/>
  <c r="C46" i="1"/>
  <c r="F26" i="1"/>
  <c r="J26" i="1"/>
  <c r="N26" i="1"/>
  <c r="F46" i="1"/>
  <c r="J46" i="1"/>
  <c r="N46" i="1"/>
  <c r="F47" i="1"/>
  <c r="J47" i="1"/>
  <c r="N47" i="1"/>
  <c r="F50" i="1"/>
  <c r="J50" i="1"/>
  <c r="N50" i="1"/>
  <c r="F53" i="1"/>
  <c r="J53" i="1"/>
  <c r="N53" i="1"/>
  <c r="E114" i="1" l="1"/>
  <c r="E56" i="1"/>
  <c r="E113" i="1"/>
  <c r="C114" i="1"/>
  <c r="M115" i="1"/>
  <c r="M59" i="1"/>
  <c r="M58" i="1"/>
  <c r="J55" i="1"/>
  <c r="J54" i="1"/>
  <c r="J115" i="1"/>
  <c r="J59" i="1"/>
  <c r="J58" i="1"/>
  <c r="L55" i="1"/>
  <c r="L54" i="1"/>
  <c r="I115" i="1"/>
  <c r="I59" i="1"/>
  <c r="I58" i="1"/>
  <c r="G54" i="1"/>
  <c r="G113" i="1" s="1"/>
  <c r="G55" i="1"/>
  <c r="G114" i="1" s="1"/>
  <c r="D57" i="1"/>
  <c r="D56" i="1"/>
  <c r="H55" i="1"/>
  <c r="H54" i="1"/>
  <c r="M55" i="1"/>
  <c r="M54" i="1"/>
  <c r="I54" i="1"/>
  <c r="E115" i="1"/>
  <c r="E59" i="1"/>
  <c r="E58" i="1"/>
  <c r="C57" i="1"/>
  <c r="C56" i="1"/>
  <c r="L115" i="1"/>
  <c r="L59" i="1"/>
  <c r="L58" i="1"/>
  <c r="K115" i="1"/>
  <c r="K58" i="1"/>
  <c r="K59" i="1"/>
  <c r="D115" i="1"/>
  <c r="D59" i="1"/>
  <c r="D58" i="1"/>
  <c r="N115" i="1"/>
  <c r="N59" i="1"/>
  <c r="N58" i="1"/>
  <c r="N55" i="1"/>
  <c r="N54" i="1"/>
  <c r="I55" i="1"/>
  <c r="F115" i="1"/>
  <c r="F59" i="1"/>
  <c r="F58" i="1"/>
  <c r="K55" i="1"/>
  <c r="K54" i="1"/>
  <c r="H115" i="1"/>
  <c r="H59" i="1"/>
  <c r="H58" i="1"/>
  <c r="C115" i="1"/>
  <c r="C59" i="1"/>
  <c r="C58" i="1"/>
  <c r="D114" i="1"/>
  <c r="G57" i="1" l="1"/>
  <c r="H114" i="1"/>
  <c r="H57" i="1"/>
  <c r="J114" i="1"/>
  <c r="J57" i="1"/>
  <c r="N113" i="1"/>
  <c r="N56" i="1"/>
  <c r="M113" i="1"/>
  <c r="M56" i="1"/>
  <c r="K114" i="1"/>
  <c r="K57" i="1"/>
  <c r="N114" i="1"/>
  <c r="N57" i="1"/>
  <c r="M114" i="1"/>
  <c r="M57" i="1"/>
  <c r="L113" i="1"/>
  <c r="L56" i="1"/>
  <c r="I114" i="1"/>
  <c r="I57" i="1"/>
  <c r="I113" i="1"/>
  <c r="I56" i="1"/>
  <c r="K113" i="1"/>
  <c r="K56" i="1"/>
  <c r="H113" i="1"/>
  <c r="H56" i="1"/>
  <c r="G56" i="1"/>
  <c r="L114" i="1"/>
  <c r="L57" i="1"/>
  <c r="J113" i="1"/>
  <c r="J56" i="1"/>
</calcChain>
</file>

<file path=xl/sharedStrings.xml><?xml version="1.0" encoding="utf-8"?>
<sst xmlns="http://schemas.openxmlformats.org/spreadsheetml/2006/main" count="345" uniqueCount="232">
  <si>
    <t>Lp.</t>
  </si>
  <si>
    <t>Wyszczególnienie</t>
  </si>
  <si>
    <t>2015</t>
  </si>
  <si>
    <t>2016</t>
  </si>
  <si>
    <t>2017 3kw.</t>
  </si>
  <si>
    <t>2017 pw.</t>
  </si>
  <si>
    <t>2018</t>
  </si>
  <si>
    <t>2019</t>
  </si>
  <si>
    <t>2020</t>
  </si>
  <si>
    <t>2021</t>
  </si>
  <si>
    <t>2022</t>
  </si>
  <si>
    <t>2023</t>
  </si>
  <si>
    <t>2024</t>
  </si>
  <si>
    <t>2025</t>
  </si>
  <si>
    <t>1</t>
  </si>
  <si>
    <t>Dochody ogółem</t>
  </si>
  <si>
    <t>1.1</t>
  </si>
  <si>
    <t>Dochody bieżące</t>
  </si>
  <si>
    <t>1.1.1</t>
  </si>
  <si>
    <t>dochody z tytułu udziału we wpływach z podatku dochodowego od osób fizycznych</t>
  </si>
  <si>
    <t>1.1.2</t>
  </si>
  <si>
    <t>dochody z tytułu udziału we wpływach z podatku dochodowego od osób prawnych</t>
  </si>
  <si>
    <t>1.1.3</t>
  </si>
  <si>
    <t>podatki i opłaty</t>
  </si>
  <si>
    <t>1.1.3.1</t>
  </si>
  <si>
    <t>z podatku od nieruchomości</t>
  </si>
  <si>
    <t>1.1.4</t>
  </si>
  <si>
    <t>z subwencji ogólnej</t>
  </si>
  <si>
    <t>1.1.5</t>
  </si>
  <si>
    <t>z tytułu dotacji i środków przeznaczonych na cele bieżące</t>
  </si>
  <si>
    <t>1.1.x</t>
  </si>
  <si>
    <t>Inne</t>
  </si>
  <si>
    <t>1.2</t>
  </si>
  <si>
    <t>Dochody majątkowe, w tym</t>
  </si>
  <si>
    <t>1.2.1</t>
  </si>
  <si>
    <t>ze sprzedaży majątku</t>
  </si>
  <si>
    <t>1.2.2</t>
  </si>
  <si>
    <t>z tytułu dotacji oraz środków przeznaczonych na inwestycje</t>
  </si>
  <si>
    <t>1.2.x</t>
  </si>
  <si>
    <t>2</t>
  </si>
  <si>
    <t>Wydatki ogółem</t>
  </si>
  <si>
    <t>2.1</t>
  </si>
  <si>
    <t>Wydatki bieżące, w tym:</t>
  </si>
  <si>
    <t>2.1.1</t>
  </si>
  <si>
    <t>z tytułu poręczeń i gwarancji</t>
  </si>
  <si>
    <t>2.1.1.1</t>
  </si>
  <si>
    <t>w tym: gwarancje i poręczenia podlegające wyłączeniu z limitu spłaty zobowiązań, o którym mowa w art. 243 ustawy</t>
  </si>
  <si>
    <t>2.1.2</t>
  </si>
  <si>
    <t>na spłatę przejętych zobowiązań samodzielnego publicznego zakładu opieki zdrowotnej przekształconego na zasadach określonych w przepisach  o działalności leczniczej, w wysokości, w jakiej nie podlegają sfinansowaniu dotacją z budżetu państwa</t>
  </si>
  <si>
    <t/>
  </si>
  <si>
    <t>2.1.3</t>
  </si>
  <si>
    <t>wydatki na obsługę długu, w tym:</t>
  </si>
  <si>
    <t>2.1.3.1</t>
  </si>
  <si>
    <t>odsetki i dyskonto określone w art. 243 ust. 1 ustawy, w tym:</t>
  </si>
  <si>
    <t>2.1.3.1.1</t>
  </si>
  <si>
    <t>odsetki i dyskonto podlegające wyłączeniu z limitu spłaty zobowiązań, o którym mowa w art. 243 ustawy, w terminie nie dłuższym niż 90 dni po zakończeniu programu, projektu lub zadania i otrzymaniu refundacji z tych środków (bez odsetek i dyskonta od zobowiązań na wkład krajowy)</t>
  </si>
  <si>
    <t>2.1.3.1.2</t>
  </si>
  <si>
    <t>odsetki i dyskonto podlegające wyłączeniu z limitu spłaty zobowiązań, o którym mowa w art. 243 ustawy, z tytułu zobowiązań na wkład krajowy</t>
  </si>
  <si>
    <t>2.1.x</t>
  </si>
  <si>
    <t>2.2</t>
  </si>
  <si>
    <t>Wydatki majątkowe</t>
  </si>
  <si>
    <t>3</t>
  </si>
  <si>
    <t>Wynik budżetu</t>
  </si>
  <si>
    <t>4</t>
  </si>
  <si>
    <t>Przychody budżetu</t>
  </si>
  <si>
    <t>4.1</t>
  </si>
  <si>
    <t>Nadwyżka budżetowa z lat ubiegłych</t>
  </si>
  <si>
    <t>4.1.1</t>
  </si>
  <si>
    <t>w tym na pokrycie deficytu budżetu</t>
  </si>
  <si>
    <t>4.2</t>
  </si>
  <si>
    <t>Wolne środki, o których mowa w art. 217 ust.2 pkt 6 ustawy</t>
  </si>
  <si>
    <t>4.2.1</t>
  </si>
  <si>
    <t>4.3</t>
  </si>
  <si>
    <t>Kredyty, pożyczki, emisja papierów wartościowych</t>
  </si>
  <si>
    <t>4.3.1</t>
  </si>
  <si>
    <t>4.4</t>
  </si>
  <si>
    <t>Inne przychody niezwiązane z zaciągnięciem długu</t>
  </si>
  <si>
    <t>4.4.1</t>
  </si>
  <si>
    <t>5</t>
  </si>
  <si>
    <t>Rozchody budżetu</t>
  </si>
  <si>
    <t>5.1</t>
  </si>
  <si>
    <t>Spłaty rat kapitałowych kredytów i pożyczek oraz wykup papierów wartościowych</t>
  </si>
  <si>
    <t>5.1.1</t>
  </si>
  <si>
    <t>w tym łączna kwota przypadających na dany rok kwot ustawowych wyłączeń z limitu spłaty zobowiązań, o którym mowa w art. 243 ustawy, z tego:</t>
  </si>
  <si>
    <t>5.1.1.1</t>
  </si>
  <si>
    <t>w tym kwota przypadających na dany rok kwot wyłączeń określonych w art. 243 ust. 3 ustawy</t>
  </si>
  <si>
    <t>5.1.1.2</t>
  </si>
  <si>
    <t>kwota przypadających na dany rok kwot wyłączeń określonych w art. 243 ust. 3a ustawy</t>
  </si>
  <si>
    <t>5.1.1.3</t>
  </si>
  <si>
    <t>kwota przypadających na dany rok kwot wyłączeń innych niż określone w art. 243</t>
  </si>
  <si>
    <t>5.2</t>
  </si>
  <si>
    <t>Inne rozchody niezwiązane ze spłatą długu</t>
  </si>
  <si>
    <t>6</t>
  </si>
  <si>
    <t>Kwota długu</t>
  </si>
  <si>
    <t>7</t>
  </si>
  <si>
    <t>Kwota zobowiązań wynikających z przejęcia przez jednostkę samorządu terytorialnego zobowiązań po likwidowanych i przekształcanych jednostkach zaliczanych do sektora  finansów publicznych</t>
  </si>
  <si>
    <t>8</t>
  </si>
  <si>
    <t>Relacja zrównoważenia wydatków bieżących, o której mowa w art. 242 ustawy</t>
  </si>
  <si>
    <t>8.1</t>
  </si>
  <si>
    <t>Różnica między dochodami bieżącymi a  wydatkami bieżącymi</t>
  </si>
  <si>
    <t>8.2</t>
  </si>
  <si>
    <t>Różnica między dochodami bieżącymi, skorygowanymi o środki,  a wydatkami bieżącymi, pomniejszonymi o wydatki</t>
  </si>
  <si>
    <t>9</t>
  </si>
  <si>
    <t>Wskaźnik spłaty zobowiązań</t>
  </si>
  <si>
    <t>9.1</t>
  </si>
  <si>
    <t>Wskaźnik planowanej łącznej kwoty spłaty zobowiązań, o której mowa w art. 243 ust. 1 ustawy, do dochodów, bez uwzględnienia zobowiązań związku współtworzonego przez jednostkę samorządu terytorialnego i bez uwzględniania ustawowych wyłączeń przypadających na dany rok</t>
  </si>
  <si>
    <t>9.2</t>
  </si>
  <si>
    <t>Wskaźnik planowanej łącznej kwoty spłaty zobowiązań, o której mowa w art. 243 ust. 1 ustawy, do dochodów, bez uwzględnienia zobowiązań związku współtworzonego przez jednostkę samorządu terytorialnego, po uwzględnieniu ustawowych wyłączeń przypadających na dany rok</t>
  </si>
  <si>
    <t>9.3</t>
  </si>
  <si>
    <t>Kwota zobowiązań związku współtworzonego przez jednostkę samorządu terytorialnego przypadających do spłaty w danym roku budżetowym, podlegająca doliczeniu zgodnie z art. 244 ustawy</t>
  </si>
  <si>
    <t>9.4</t>
  </si>
  <si>
    <t>Wskaźnik planowanej łącznej kwoty spłaty zobowiązań, o której mowa w art. 243 ust. 1 ustawy, do dochodów, po uwzględnieniu zobowiązań związku współtworzonego przez jednostkę samorządu terytorialnego oraz po uwzględnieniu ustawowych wyłączeń przypadających na dany rok</t>
  </si>
  <si>
    <t>9.5</t>
  </si>
  <si>
    <t>Wskaźnik dochodów bieżących powiększonych o dochody ze sprzedaży majątku oraz pomniejszonych o wydatki bieżące, do dochodów budżetu, ustalony dla danego roku (wskaźnik jednoroczny)</t>
  </si>
  <si>
    <t>9.6</t>
  </si>
  <si>
    <t>Dopuszczalny wskaźnik spłaty zobowiązań określony w art. 243 ustawy, po uwzględnieniu ustawowych wyłączeń, obliczony w oparciu o plan 3 kwartu roku poprzedzającego pierwszy rok prognozy (wskaźnik ustalony w oparciu o średnią arytmetyczną z 3 poprzednich lat)</t>
  </si>
  <si>
    <t>9.6.1</t>
  </si>
  <si>
    <t>Dopuszczalny wskaźnik spłaty zobowiązań określony w art. 243 ustawy, po uwzględnieniu ustawowych wyłączeń, obliczony w oparciu o wykonanie roku poprzedzającego pierwszy rok prognozy (wskaźnik ustalony w oparciu o średnią arytmetyczną z 3 poprzednich lat)</t>
  </si>
  <si>
    <t>9.7</t>
  </si>
  <si>
    <t>Informacja o spełnieniu wskaźnika spłaty zobowiązań określonego w art. 243 ustawy, po uwzględnieniu zobowiązań związku współtworzonego przez jednostkę samorządu terytorialnego oraz po uwzględnieniu ustawowych wyłączeń, obliczonego w oparciu o plan 3 kwartałów roku poprzedzającego rok budżetowy</t>
  </si>
  <si>
    <t>9.7.1</t>
  </si>
  <si>
    <t>Informacja o spełnieniu wskaźnika spłaty zobowiązań określonego w art. 243 ustawy, po uwzględnieniu zobowiązań związku współtworzonego przez jednostkę samorządu terytorialnego oraz po uwzględnieniu ustawowych wyłączeń, obliczonego w oparciu o wykonanie roku poprzedzającego rok budżetowy</t>
  </si>
  <si>
    <t>10</t>
  </si>
  <si>
    <t>Przeznaczenie prognozowanej nadwyżki budżetowej,  w tym na:</t>
  </si>
  <si>
    <t>10.1</t>
  </si>
  <si>
    <t>Spłaty kredytów, pożyczek i wykup papierów wartościowych</t>
  </si>
  <si>
    <t>11</t>
  </si>
  <si>
    <t>Informacje uzupełniające o wybranych rodzajach wydatków budżetowych</t>
  </si>
  <si>
    <t>11.1</t>
  </si>
  <si>
    <t>Wydatki bieżące na wynagrodzenia i składki od nich naliczane</t>
  </si>
  <si>
    <t>11.2</t>
  </si>
  <si>
    <t>Wydatki związane z funkcjonowaniem organów jednostki samorządu terytorialnego</t>
  </si>
  <si>
    <t>11.3</t>
  </si>
  <si>
    <t>Wydatki objęte limitem, o którym mowa w art. 226 ust. 3 pkt 4 ustawy</t>
  </si>
  <si>
    <t>11.3.1</t>
  </si>
  <si>
    <t>bieżące</t>
  </si>
  <si>
    <t>11.3.2</t>
  </si>
  <si>
    <t>majątkowe</t>
  </si>
  <si>
    <t>11.4</t>
  </si>
  <si>
    <t>Wydatki inwestycyjne kontynuowane</t>
  </si>
  <si>
    <t>11.5</t>
  </si>
  <si>
    <t>Nowe wydatki inwestycyjne</t>
  </si>
  <si>
    <t>11.6</t>
  </si>
  <si>
    <t>Wydatki majątkowe w formie dotacji</t>
  </si>
  <si>
    <t>11.x</t>
  </si>
  <si>
    <t>12</t>
  </si>
  <si>
    <t>Finansowanie programów, projektów lub zadań realizowanych z udziałem środków, o których mowa w art. 5 ust. 1 pkt 2 i 3 ustawy</t>
  </si>
  <si>
    <t>12.1</t>
  </si>
  <si>
    <t>Dochody bieżące na programy, projekty lub zadania finansowane z udziałem środków, o których mowa w art. 5 ust. 1 pkt 2 i 3 ustawy</t>
  </si>
  <si>
    <t>12.1.1</t>
  </si>
  <si>
    <t>-  w tym środki określone w art. 5 ust. 1 pkt 2 ustawy</t>
  </si>
  <si>
    <t>12.1.1.1</t>
  </si>
  <si>
    <t>- w tym środki określone w art. 5 ust. 1 pkt 2 ustawy wynikające wyłącznie z  zawartych umów na realizację programu, projektu lub zadania</t>
  </si>
  <si>
    <t>12.2</t>
  </si>
  <si>
    <t>Dochody majątkowe  na programy, projekty lub zadania finansowane z udziałem środków, o których mowa w art. 5 ust. 1 pkt 2 i 3 ustawy</t>
  </si>
  <si>
    <t>12.2.1</t>
  </si>
  <si>
    <t>12.2.1.1</t>
  </si>
  <si>
    <t>- w tym środki określone w art. 5 ust. 1 pkt 2 ustawy wynikające wyłącznie z zawartych umów na realizację programu, projektu lub zadania</t>
  </si>
  <si>
    <t>12.3</t>
  </si>
  <si>
    <t>Wydatki bieżące na programy, projekty lub zadania finansowane z udziałem środków, o których mowa w art. 5 ust. 1 pkt 2 i 3 ustawy</t>
  </si>
  <si>
    <t>12.3.1</t>
  </si>
  <si>
    <t>-  w tym finansowane środkami określonymi w art. 5 ust. 1 pkt 2 ustawy</t>
  </si>
  <si>
    <t>12.3.2</t>
  </si>
  <si>
    <t>Wydatki bieżące na realizację programu, projektu lub zadania wynikające wyłącznie z zawartych umów z podmiotem dysponującym środkami, o których mowa w art. 5 ust. 1 pkt 2 ustawy</t>
  </si>
  <si>
    <t>12.4</t>
  </si>
  <si>
    <t>Wydatki majątkowe na programy, projekty lub zadania finansowane z udziałem środków, o których mowa w art. 5 ust. 1 pkt 2 i 3 ustawy</t>
  </si>
  <si>
    <t>12.4.1</t>
  </si>
  <si>
    <t>12.4.2</t>
  </si>
  <si>
    <t>Wydatki majątkowe na realizację programu, projektu lub zadania wynikające wyłącznie z zawartych umów z podmiotem dysponującym środkami, o których mowa w art. 5 ust. 1 pkt 2 ustawy</t>
  </si>
  <si>
    <t>12.5</t>
  </si>
  <si>
    <t>Wydatki na wkład krajowy w związku z umową na realizację programu, projektu lub zadania finansowanego z udziałem środków, o których mowa w art. 5 ust. 1 pkt 2 ustawy bez względu na stopień finansowania tymi środkami</t>
  </si>
  <si>
    <t>12.5.1</t>
  </si>
  <si>
    <t xml:space="preserve"> - w tym w związku z już zawartą umową na realizację programu, projektu lub zadania</t>
  </si>
  <si>
    <t>12.6</t>
  </si>
  <si>
    <t>Wydatki na wkład krajowy w związku z zawartą po dniu 1 stycznia 2013 r. umową na realizację programu, projektu lub zadania finansowanego w co najmniej 60% środkami, o których mowa w art. 5 ust. 1 pkt 2 ustawy</t>
  </si>
  <si>
    <t>12.6.1</t>
  </si>
  <si>
    <t>12.7</t>
  </si>
  <si>
    <t>Przychody z tytułu kredytów, pożyczek, emisji papierów wartościowych powstające w związku z umową na realizację programu, projektu lub zadania finansowanego z udziałem środków, o których mowa w art. 5 ust. 1 pkt 2 ustawy, bez względu na stopień finansowania tymi środkami</t>
  </si>
  <si>
    <t>12.7.1</t>
  </si>
  <si>
    <t>12.8</t>
  </si>
  <si>
    <t>Przychody z tytułu kredytów, pożyczek, emisji papierów wartościowych powstające w związku z zawartą po dniu 1 stycznia 2013 r. umowa na realizację programu, projektu lub zadania finansowanego w co najmniej 60% środkami, o których mowa w art. 5 ust. 1 pkt 2 ustawy</t>
  </si>
  <si>
    <t>12.8.1</t>
  </si>
  <si>
    <t>13</t>
  </si>
  <si>
    <t>Kwoty dotyczące przejęcia i spłaty zobowiązań po samodzielnych publicznych zakładach opieki zdrowotnej oraz pokrycia ujemnego wyniku</t>
  </si>
  <si>
    <t>13.1</t>
  </si>
  <si>
    <t>Kwota zobowiązań wynikających z przejęcia przez jednostkę samorządu terytorialnego zobowiązań po likwidowanych i przekształcanych samodzielnych zakładach opieki zdrowotnej</t>
  </si>
  <si>
    <t>13.2</t>
  </si>
  <si>
    <t>Dochody budżetowe z tytułu dotacji celowej z budżetu państwa, o której mowa w art. 196 ustawy z  dnia 15 kwietnia 2011 r.  o działalności leczniczej (Dz.U.  z 2013 r. poz. 217, z późn. zm.)</t>
  </si>
  <si>
    <t>13.3</t>
  </si>
  <si>
    <t>Wysokość zobowiązań podlegających umorzeniu, o którym mowa w art. 190 ustawy o działalności leczniczej</t>
  </si>
  <si>
    <t>13.4</t>
  </si>
  <si>
    <t>Wydatki na spłatę przejętych zobowiązań samodzielnego publicznego zakładu opieki zdrowotnej przekształconego na zasadach określonych w przepisach  o działalności leczniczej</t>
  </si>
  <si>
    <t>13.5</t>
  </si>
  <si>
    <t>Wydatki na spłatę przejętych zobowiązań samodzielnego publicznego zakładu opieki zdrowotnej likwidowanego na zasadach określonych w przepisach  o działalności leczniczej</t>
  </si>
  <si>
    <t>13.6</t>
  </si>
  <si>
    <t>Wydatki na spłatę zobowiązań samodzielnego publicznego zakładu opieki zdrowotnej przejętych do końca 2011 r. na podstawie przepisów o zakładach opieki zdrowotnej</t>
  </si>
  <si>
    <t>13.7</t>
  </si>
  <si>
    <t>Wydatki bieżące na pokrycie ujemnego wyniku finansowego samodzielnego publicznego zakładu opieki zdrowotnej</t>
  </si>
  <si>
    <t>14</t>
  </si>
  <si>
    <t>Dane uzupełniające o długu i jego spłacie</t>
  </si>
  <si>
    <t>14.1</t>
  </si>
  <si>
    <t>Spłaty rat kapitałowych oraz wykup papierów wartościowych, o których mowa w pkt. 5.1., wynikające wyłącznie z tytułu zobowiązań już zaciągniętych</t>
  </si>
  <si>
    <t>14.2</t>
  </si>
  <si>
    <t>Kwota długu, którego planowana spłata dokona się z wydatków budżetu</t>
  </si>
  <si>
    <t>14.3</t>
  </si>
  <si>
    <t>Wydatki zmniejszające dług, w tym</t>
  </si>
  <si>
    <t>14.3.1</t>
  </si>
  <si>
    <t>spłata zobowiązań wymagalnych z lat poprzednich, innych niż w pkt 14.3.3</t>
  </si>
  <si>
    <t>14.3.2</t>
  </si>
  <si>
    <t>związane z umowami zaliczanymi do tytułów dłużnych wliczanych w państwowy dług publiczny</t>
  </si>
  <si>
    <t>14.3.3</t>
  </si>
  <si>
    <t>wypłaty z tytułu wymagalnych poręczeń i gwarancji</t>
  </si>
  <si>
    <t>14.4</t>
  </si>
  <si>
    <t>Wynik operacji niekasowych wpływających na kwotę długu ( m.in. umorzenia, różnice kursowe)</t>
  </si>
  <si>
    <t>15</t>
  </si>
  <si>
    <t>Dane dotyczące emitowanych obligacji przychodowych</t>
  </si>
  <si>
    <t>15.1</t>
  </si>
  <si>
    <t>Środki z przedsięwzięcia gromadzone na rachunku bankowym, w tym:</t>
  </si>
  <si>
    <t>15.1.1</t>
  </si>
  <si>
    <t>środki na zaspokojenie roszczeń obligatariuszy</t>
  </si>
  <si>
    <t>15.2</t>
  </si>
  <si>
    <t>Wydatki bieżące z tytułu świadczenia emitenta należnego obligatariuszom, nieuwzględniane w limicie spłaty zobowiązań, o którym mowa w art. 243 ustawy</t>
  </si>
  <si>
    <t>16</t>
  </si>
  <si>
    <t>Stopnie niezachowania relacji określonych w art. 242-244 ustawy w przypadku określonym w ...** ustawy</t>
  </si>
  <si>
    <t>16.1</t>
  </si>
  <si>
    <t>Stopień niezachowania relacji zrównoważenia wydatków bieżących, o której mowa w poz. 8.2</t>
  </si>
  <si>
    <t>16.2</t>
  </si>
  <si>
    <t>Stopień niezachowania wskaźnika spłaty zobowiązań, o którym mowa w poz. 9.7</t>
  </si>
  <si>
    <t>16.3</t>
  </si>
  <si>
    <t>Stopień niezachowania wskaźnika spłaty zobowiązań, o którym mowa w poz. 9.7.1</t>
  </si>
  <si>
    <t>17</t>
  </si>
  <si>
    <t>Rozliczenie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</si>
</sst>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EAEAEA"/>
      </patternFill>
    </fill>
    <fill>
      <patternFill patternType="solid">
        <fgColor rgb="FFFFFFFF"/>
      </patternFill>
    </fill>
    <fill>
      <patternFill patternType="solid">
        <fgColor rgb="FFADFF2F"/>
      </patternFill>
    </fill>
    <fill>
      <patternFill patternType="solid">
        <fgColor rgb="FFCD5C5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/>
    <xf numFmtId="4" fontId="2" fillId="3" borderId="1" xfId="0" applyNumberFormat="1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vertical="center" wrapText="1"/>
    </xf>
    <xf numFmtId="4" fontId="1" fillId="4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/>
    </xf>
    <xf numFmtId="4" fontId="2" fillId="4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10" fontId="1" fillId="3" borderId="1" xfId="0" applyNumberFormat="1" applyFont="1" applyFill="1" applyBorder="1" applyAlignment="1">
      <alignment vertical="center"/>
    </xf>
    <xf numFmtId="10" fontId="1" fillId="3" borderId="1" xfId="0" applyNumberFormat="1" applyFont="1" applyFill="1" applyBorder="1" applyAlignment="1">
      <alignment vertical="center" wrapText="1"/>
    </xf>
    <xf numFmtId="10" fontId="1" fillId="3" borderId="1" xfId="0" applyNumberFormat="1" applyFont="1" applyFill="1" applyBorder="1" applyAlignment="1">
      <alignment horizontal="right" vertical="center"/>
    </xf>
    <xf numFmtId="10" fontId="2" fillId="3" borderId="1" xfId="0" applyNumberFormat="1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vertical="center" wrapText="1"/>
    </xf>
    <xf numFmtId="10" fontId="2" fillId="3" borderId="1" xfId="0" applyNumberFormat="1" applyFont="1" applyFill="1" applyBorder="1" applyAlignment="1">
      <alignment horizontal="right" vertical="center"/>
    </xf>
    <xf numFmtId="4" fontId="2" fillId="5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/>
    </xf>
    <xf numFmtId="4" fontId="1" fillId="5" borderId="1" xfId="0" applyNumberFormat="1" applyFont="1" applyFill="1" applyBorder="1" applyAlignment="1">
      <alignment horizontal="center" vertical="center"/>
    </xf>
    <xf numFmtId="4" fontId="1" fillId="6" borderId="1" xfId="0" applyNumberFormat="1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horizontal="right" vertical="center"/>
    </xf>
    <xf numFmtId="10" fontId="1" fillId="0" borderId="1" xfId="0" applyNumberFormat="1" applyFont="1" applyBorder="1" applyAlignment="1">
      <alignment horizontal="right" vertical="center"/>
    </xf>
    <xf numFmtId="4" fontId="3" fillId="3" borderId="1" xfId="0" applyNumberFormat="1" applyFont="1" applyFill="1" applyBorder="1" applyAlignment="1">
      <alignment vertical="center"/>
    </xf>
    <xf numFmtId="4" fontId="3" fillId="3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8"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5"/>
  <sheetViews>
    <sheetView tabSelected="1" view="pageLayout" topLeftCell="H1" zoomScaleNormal="100" workbookViewId="0">
      <selection activeCell="A114" sqref="A114:XFD116"/>
    </sheetView>
  </sheetViews>
  <sheetFormatPr defaultRowHeight="15" x14ac:dyDescent="0.25"/>
  <cols>
    <col min="1" max="1" width="7.140625" customWidth="1"/>
    <col min="2" max="2" width="41.7109375" customWidth="1"/>
    <col min="3" max="14" width="14.285156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.25" customHeight="1" x14ac:dyDescent="0.25">
      <c r="A2" s="2" t="s">
        <v>14</v>
      </c>
      <c r="B2" s="3" t="s">
        <v>15</v>
      </c>
      <c r="C2" s="4">
        <f>IF(ISNUMBER(VLOOKUP("1.1",A2:N116,3,FALSE)),VLOOKUP("1.1",A2:N116,3,FALSE),0) + IF(ISNUMBER(VLOOKUP("1.2",A2:N116,3,FALSE)),VLOOKUP("1.2",A2:N116,3,FALSE),0)</f>
        <v>28425516.319999997</v>
      </c>
      <c r="D2" s="4">
        <f>IF(ISNUMBER(VLOOKUP("1.1",A2:N116,4,FALSE)),VLOOKUP("1.1",A2:N116,4,FALSE),0) + IF(ISNUMBER(VLOOKUP("1.2",A2:N116,4,FALSE)),VLOOKUP("1.2",A2:N116,4,FALSE),0)</f>
        <v>33317322.640000001</v>
      </c>
      <c r="E2" s="4">
        <f>IF(ISNUMBER(VLOOKUP("1.1",A2:N116,5,FALSE)),VLOOKUP("1.1",A2:N116,5,FALSE),0) + IF(ISNUMBER(VLOOKUP("1.2",A2:N116,5,FALSE)),VLOOKUP("1.2",A2:N116,5,FALSE),0)</f>
        <v>36024096.019999996</v>
      </c>
      <c r="F2" s="4">
        <f>IF(ISNUMBER(VLOOKUP("1.1",A2:N116,6,FALSE)),VLOOKUP("1.1",A2:N116,6,FALSE),0) + IF(ISNUMBER(VLOOKUP("1.2",A2:N116,6,FALSE)),VLOOKUP("1.2",A2:N116,6,FALSE),0)</f>
        <v>34798365.880000003</v>
      </c>
      <c r="G2" s="4">
        <f>IF(ISNUMBER(VLOOKUP("1.1",A2:N116,7,FALSE)),VLOOKUP("1.1",A2:N116,7,FALSE),0) + IF(ISNUMBER(VLOOKUP("1.2",A2:N116,7,FALSE)),VLOOKUP("1.2",A2:N116,7,FALSE),0)</f>
        <v>34346362.93</v>
      </c>
      <c r="H2" s="4">
        <f>IF(ISNUMBER(VLOOKUP("1.1",A2:N116,8,FALSE)),VLOOKUP("1.1",A2:N116,8,FALSE),0) + IF(ISNUMBER(VLOOKUP("1.2",A2:N116,8,FALSE)),VLOOKUP("1.2",A2:N116,8,FALSE),0)</f>
        <v>36333530</v>
      </c>
      <c r="I2" s="4">
        <f>IF(ISNUMBER(VLOOKUP("1.1",A2:N116,9,FALSE)),VLOOKUP("1.1",A2:N116,9,FALSE),0) + IF(ISNUMBER(VLOOKUP("1.2",A2:N116,9,FALSE)),VLOOKUP("1.2",A2:N116,9,FALSE),0)</f>
        <v>37153522</v>
      </c>
      <c r="J2" s="4">
        <f>IF(ISNUMBER(VLOOKUP("1.1",A2:N116,10,FALSE)),VLOOKUP("1.1",A2:N116,10,FALSE),0) + IF(ISNUMBER(VLOOKUP("1.2",A2:N116,10,FALSE)),VLOOKUP("1.2",A2:N116,10,FALSE),0)</f>
        <v>37771013</v>
      </c>
      <c r="K2" s="4">
        <f>IF(ISNUMBER(VLOOKUP("1.1",A2:N116,11,FALSE)),VLOOKUP("1.1",A2:N116,11,FALSE),0) + IF(ISNUMBER(VLOOKUP("1.2",A2:N116,11,FALSE)),VLOOKUP("1.2",A2:N116,11,FALSE),0)</f>
        <v>38443552</v>
      </c>
      <c r="L2" s="4">
        <f>IF(ISNUMBER(VLOOKUP("1.1",A2:N116,12,FALSE)),VLOOKUP("1.1",A2:N116,12,FALSE),0) + IF(ISNUMBER(VLOOKUP("1.2",A2:N116,12,FALSE)),VLOOKUP("1.2",A2:N116,12,FALSE),0)</f>
        <v>39113827</v>
      </c>
      <c r="M2" s="4">
        <f>IF(ISNUMBER(VLOOKUP("1.1",A2:N116,13,FALSE)),VLOOKUP("1.1",A2:N116,13,FALSE),0) + IF(ISNUMBER(VLOOKUP("1.2",A2:N116,13,FALSE)),VLOOKUP("1.2",A2:N116,13,FALSE),0)</f>
        <v>39483121</v>
      </c>
      <c r="N2" s="4">
        <f>IF(ISNUMBER(VLOOKUP("1.1",A2:N116,14,FALSE)),VLOOKUP("1.1",A2:N116,14,FALSE),0) + IF(ISNUMBER(VLOOKUP("1.2",A2:N116,14,FALSE)),VLOOKUP("1.2",A2:N116,14,FALSE),0)</f>
        <v>40041539</v>
      </c>
    </row>
    <row r="3" spans="1:14" ht="14.25" customHeight="1" x14ac:dyDescent="0.25">
      <c r="A3" s="2" t="s">
        <v>16</v>
      </c>
      <c r="B3" s="3" t="s">
        <v>17</v>
      </c>
      <c r="C3" s="4">
        <f>IF(ISNUMBER(VLOOKUP("1.1.1",A2:N116,3,FALSE)),VLOOKUP("1.1.1",A2:N116,3,FALSE),0) + IF(ISNUMBER(VLOOKUP("1.1.2",A2:N116,3,FALSE)),VLOOKUP("1.1.2",A2:N116,3,FALSE),0) + IF(ISNUMBER(VLOOKUP("1.1.3",A2:N116,3,FALSE)),VLOOKUP("1.1.3",A2:N116,3,FALSE),0) + IF(ISNUMBER(VLOOKUP("1.1.4",A2:N116,3,FALSE)),VLOOKUP("1.1.4",A2:N116,3,FALSE),0) + IF(ISNUMBER(VLOOKUP("1.1.5",A2:N116,3,FALSE)),VLOOKUP("1.1.5",A2:N116,3,FALSE),0) + IF(ISNUMBER(VLOOKUP("1.1.x",A2:N116,3,FALSE)),VLOOKUP("1.1.x",A2:N116,3,FALSE),0)</f>
        <v>25791094.099999998</v>
      </c>
      <c r="D3" s="4">
        <f>IF(ISNUMBER(VLOOKUP("1.1.1",A2:N116,4,FALSE)),VLOOKUP("1.1.1",A2:N116,4,FALSE),0) + IF(ISNUMBER(VLOOKUP("1.1.2",A2:N116,4,FALSE)),VLOOKUP("1.1.2",A2:N116,4,FALSE),0) + IF(ISNUMBER(VLOOKUP("1.1.3",A2:N116,4,FALSE)),VLOOKUP("1.1.3",A2:N116,4,FALSE),0) + IF(ISNUMBER(VLOOKUP("1.1.4",A2:N116,4,FALSE)),VLOOKUP("1.1.4",A2:N116,4,FALSE),0) + IF(ISNUMBER(VLOOKUP("1.1.5",A2:N116,4,FALSE)),VLOOKUP("1.1.5",A2:N116,4,FALSE),0) + IF(ISNUMBER(VLOOKUP("1.1.x",A2:N116,4,FALSE)),VLOOKUP("1.1.x",A2:N116,4,FALSE),0)</f>
        <v>32990782.59</v>
      </c>
      <c r="E3" s="4">
        <f>IF(ISNUMBER(VLOOKUP("1.1.1",A2:N116,5,FALSE)),VLOOKUP("1.1.1",A2:N116,5,FALSE),0) + IF(ISNUMBER(VLOOKUP("1.1.2",A2:N116,5,FALSE)),VLOOKUP("1.1.2",A2:N116,5,FALSE),0) + IF(ISNUMBER(VLOOKUP("1.1.3",A2:N116,5,FALSE)),VLOOKUP("1.1.3",A2:N116,5,FALSE),0) + IF(ISNUMBER(VLOOKUP("1.1.4",A2:N116,5,FALSE)),VLOOKUP("1.1.4",A2:N116,5,FALSE),0) + IF(ISNUMBER(VLOOKUP("1.1.5",A2:N116,5,FALSE)),VLOOKUP("1.1.5",A2:N116,5,FALSE),0) + IF(ISNUMBER(VLOOKUP("1.1.x",A2:N116,5,FALSE)),VLOOKUP("1.1.x",A2:N116,5,FALSE),0)</f>
        <v>35547928.659999996</v>
      </c>
      <c r="F3" s="4">
        <f>IF(ISNUMBER(VLOOKUP("1.1.1",A2:N116,6,FALSE)),VLOOKUP("1.1.1",A2:N116,6,FALSE),0) + IF(ISNUMBER(VLOOKUP("1.1.2",A2:N116,6,FALSE)),VLOOKUP("1.1.2",A2:N116,6,FALSE),0) + IF(ISNUMBER(VLOOKUP("1.1.3",A2:N116,6,FALSE)),VLOOKUP("1.1.3",A2:N116,6,FALSE),0) + IF(ISNUMBER(VLOOKUP("1.1.4",A2:N116,6,FALSE)),VLOOKUP("1.1.4",A2:N116,6,FALSE),0) + IF(ISNUMBER(VLOOKUP("1.1.5",A2:N116,6,FALSE)),VLOOKUP("1.1.5",A2:N116,6,FALSE),0) + IF(ISNUMBER(VLOOKUP("1.1.x",A2:N116,6,FALSE)),VLOOKUP("1.1.x",A2:N116,6,FALSE),0)</f>
        <v>34658857.5</v>
      </c>
      <c r="G3" s="4">
        <f>IF(ISNUMBER(VLOOKUP("1.1.1",A2:N116,7,FALSE)),VLOOKUP("1.1.1",A2:N116,7,FALSE),0) + IF(ISNUMBER(VLOOKUP("1.1.2",A2:N116,7,FALSE)),VLOOKUP("1.1.2",A2:N116,7,FALSE),0) + IF(ISNUMBER(VLOOKUP("1.1.3",A2:N116,7,FALSE)),VLOOKUP("1.1.3",A2:N116,7,FALSE),0) + IF(ISNUMBER(VLOOKUP("1.1.4",A2:N116,7,FALSE)),VLOOKUP("1.1.4",A2:N116,7,FALSE),0) + IF(ISNUMBER(VLOOKUP("1.1.5",A2:N116,7,FALSE)),VLOOKUP("1.1.5",A2:N116,7,FALSE),0) + IF(ISNUMBER(VLOOKUP("1.1.x",A2:N116,7,FALSE)),VLOOKUP("1.1.x",A2:N116,7,FALSE),0)</f>
        <v>33472498.93</v>
      </c>
      <c r="H3" s="4">
        <f>IF(ISNUMBER(VLOOKUP("1.1.1",A2:N116,8,FALSE)),VLOOKUP("1.1.1",A2:N116,8,FALSE),0) + IF(ISNUMBER(VLOOKUP("1.1.2",A2:N116,8,FALSE)),VLOOKUP("1.1.2",A2:N116,8,FALSE),0) + IF(ISNUMBER(VLOOKUP("1.1.3",A2:N116,8,FALSE)),VLOOKUP("1.1.3",A2:N116,8,FALSE),0) + IF(ISNUMBER(VLOOKUP("1.1.4",A2:N116,8,FALSE)),VLOOKUP("1.1.4",A2:N116,8,FALSE),0) + IF(ISNUMBER(VLOOKUP("1.1.5",A2:N116,8,FALSE)),VLOOKUP("1.1.5",A2:N116,8,FALSE),0) + IF(ISNUMBER(VLOOKUP("1.1.x",A2:N116,8,FALSE)),VLOOKUP("1.1.x",A2:N116,8,FALSE),0)</f>
        <v>36333530</v>
      </c>
      <c r="I3" s="4">
        <f>IF(ISNUMBER(VLOOKUP("1.1.1",A2:N116,9,FALSE)),VLOOKUP("1.1.1",A2:N116,9,FALSE),0) + IF(ISNUMBER(VLOOKUP("1.1.2",A2:N116,9,FALSE)),VLOOKUP("1.1.2",A2:N116,9,FALSE),0) + IF(ISNUMBER(VLOOKUP("1.1.3",A2:N116,9,FALSE)),VLOOKUP("1.1.3",A2:N116,9,FALSE),0) + IF(ISNUMBER(VLOOKUP("1.1.4",A2:N116,9,FALSE)),VLOOKUP("1.1.4",A2:N116,9,FALSE),0) + IF(ISNUMBER(VLOOKUP("1.1.5",A2:N116,9,FALSE)),VLOOKUP("1.1.5",A2:N116,9,FALSE),0) + IF(ISNUMBER(VLOOKUP("1.1.x",A2:N116,9,FALSE)),VLOOKUP("1.1.x",A2:N116,9,FALSE),0)</f>
        <v>37153522</v>
      </c>
      <c r="J3" s="4">
        <f>IF(ISNUMBER(VLOOKUP("1.1.1",A2:N116,10,FALSE)),VLOOKUP("1.1.1",A2:N116,10,FALSE),0) + IF(ISNUMBER(VLOOKUP("1.1.2",A2:N116,10,FALSE)),VLOOKUP("1.1.2",A2:N116,10,FALSE),0) + IF(ISNUMBER(VLOOKUP("1.1.3",A2:N116,10,FALSE)),VLOOKUP("1.1.3",A2:N116,10,FALSE),0) + IF(ISNUMBER(VLOOKUP("1.1.4",A2:N116,10,FALSE)),VLOOKUP("1.1.4",A2:N116,10,FALSE),0) + IF(ISNUMBER(VLOOKUP("1.1.5",A2:N116,10,FALSE)),VLOOKUP("1.1.5",A2:N116,10,FALSE),0) + IF(ISNUMBER(VLOOKUP("1.1.x",A2:N116,10,FALSE)),VLOOKUP("1.1.x",A2:N116,10,FALSE),0)</f>
        <v>37771013</v>
      </c>
      <c r="K3" s="4">
        <f>IF(ISNUMBER(VLOOKUP("1.1.1",A2:N116,11,FALSE)),VLOOKUP("1.1.1",A2:N116,11,FALSE),0) + IF(ISNUMBER(VLOOKUP("1.1.2",A2:N116,11,FALSE)),VLOOKUP("1.1.2",A2:N116,11,FALSE),0) + IF(ISNUMBER(VLOOKUP("1.1.3",A2:N116,11,FALSE)),VLOOKUP("1.1.3",A2:N116,11,FALSE),0) + IF(ISNUMBER(VLOOKUP("1.1.4",A2:N116,11,FALSE)),VLOOKUP("1.1.4",A2:N116,11,FALSE),0) + IF(ISNUMBER(VLOOKUP("1.1.5",A2:N116,11,FALSE)),VLOOKUP("1.1.5",A2:N116,11,FALSE),0) + IF(ISNUMBER(VLOOKUP("1.1.x",A2:N116,11,FALSE)),VLOOKUP("1.1.x",A2:N116,11,FALSE),0)</f>
        <v>38443552</v>
      </c>
      <c r="L3" s="4">
        <f>IF(ISNUMBER(VLOOKUP("1.1.1",A2:N116,12,FALSE)),VLOOKUP("1.1.1",A2:N116,12,FALSE),0) + IF(ISNUMBER(VLOOKUP("1.1.2",A2:N116,12,FALSE)),VLOOKUP("1.1.2",A2:N116,12,FALSE),0) + IF(ISNUMBER(VLOOKUP("1.1.3",A2:N116,12,FALSE)),VLOOKUP("1.1.3",A2:N116,12,FALSE),0) + IF(ISNUMBER(VLOOKUP("1.1.4",A2:N116,12,FALSE)),VLOOKUP("1.1.4",A2:N116,12,FALSE),0) + IF(ISNUMBER(VLOOKUP("1.1.5",A2:N116,12,FALSE)),VLOOKUP("1.1.5",A2:N116,12,FALSE),0) + IF(ISNUMBER(VLOOKUP("1.1.x",A2:N116,12,FALSE)),VLOOKUP("1.1.x",A2:N116,12,FALSE),0)</f>
        <v>39113827</v>
      </c>
      <c r="M3" s="4">
        <f>IF(ISNUMBER(VLOOKUP("1.1.1",A2:N116,13,FALSE)),VLOOKUP("1.1.1",A2:N116,13,FALSE),0) + IF(ISNUMBER(VLOOKUP("1.1.2",A2:N116,13,FALSE)),VLOOKUP("1.1.2",A2:N116,13,FALSE),0) + IF(ISNUMBER(VLOOKUP("1.1.3",A2:N116,13,FALSE)),VLOOKUP("1.1.3",A2:N116,13,FALSE),0) + IF(ISNUMBER(VLOOKUP("1.1.4",A2:N116,13,FALSE)),VLOOKUP("1.1.4",A2:N116,13,FALSE),0) + IF(ISNUMBER(VLOOKUP("1.1.5",A2:N116,13,FALSE)),VLOOKUP("1.1.5",A2:N116,13,FALSE),0) + IF(ISNUMBER(VLOOKUP("1.1.x",A2:N116,13,FALSE)),VLOOKUP("1.1.x",A2:N116,13,FALSE),0)</f>
        <v>39483121</v>
      </c>
      <c r="N3" s="4">
        <f>IF(ISNUMBER(VLOOKUP("1.1.1",A2:N116,14,FALSE)),VLOOKUP("1.1.1",A2:N116,14,FALSE),0) + IF(ISNUMBER(VLOOKUP("1.1.2",A2:N116,14,FALSE)),VLOOKUP("1.1.2",A2:N116,14,FALSE),0) + IF(ISNUMBER(VLOOKUP("1.1.3",A2:N116,14,FALSE)),VLOOKUP("1.1.3",A2:N116,14,FALSE),0) + IF(ISNUMBER(VLOOKUP("1.1.4",A2:N116,14,FALSE)),VLOOKUP("1.1.4",A2:N116,14,FALSE),0) + IF(ISNUMBER(VLOOKUP("1.1.5",A2:N116,14,FALSE)),VLOOKUP("1.1.5",A2:N116,14,FALSE),0) + IF(ISNUMBER(VLOOKUP("1.1.x",A2:N116,14,FALSE)),VLOOKUP("1.1.x",A2:N116,14,FALSE),0)</f>
        <v>40041539</v>
      </c>
    </row>
    <row r="4" spans="1:14" ht="27" customHeight="1" x14ac:dyDescent="0.25">
      <c r="A4" s="5" t="s">
        <v>18</v>
      </c>
      <c r="B4" s="6" t="s">
        <v>19</v>
      </c>
      <c r="C4" s="7">
        <v>2884053</v>
      </c>
      <c r="D4" s="7">
        <v>3353066</v>
      </c>
      <c r="E4" s="7">
        <v>3675082</v>
      </c>
      <c r="F4" s="7">
        <v>3756923</v>
      </c>
      <c r="G4" s="8">
        <v>4079330</v>
      </c>
      <c r="H4" s="8">
        <v>4107000</v>
      </c>
      <c r="I4" s="8">
        <v>4192000</v>
      </c>
      <c r="J4" s="8">
        <v>4235000</v>
      </c>
      <c r="K4" s="8">
        <v>4315000</v>
      </c>
      <c r="L4" s="8">
        <v>4370000</v>
      </c>
      <c r="M4" s="8">
        <v>4432000</v>
      </c>
      <c r="N4" s="8">
        <v>4496000</v>
      </c>
    </row>
    <row r="5" spans="1:14" ht="27" customHeight="1" x14ac:dyDescent="0.25">
      <c r="A5" s="5" t="s">
        <v>20</v>
      </c>
      <c r="B5" s="6" t="s">
        <v>21</v>
      </c>
      <c r="C5" s="7">
        <v>68354.240000000005</v>
      </c>
      <c r="D5" s="7">
        <v>86117.11</v>
      </c>
      <c r="E5" s="7">
        <v>95000</v>
      </c>
      <c r="F5" s="7">
        <v>91422.97</v>
      </c>
      <c r="G5" s="8">
        <v>10000</v>
      </c>
      <c r="H5" s="8">
        <v>10000</v>
      </c>
      <c r="I5" s="8">
        <v>10000</v>
      </c>
      <c r="J5" s="8">
        <v>10000</v>
      </c>
      <c r="K5" s="8">
        <v>10000</v>
      </c>
      <c r="L5" s="8">
        <v>10000</v>
      </c>
      <c r="M5" s="8">
        <v>10000</v>
      </c>
      <c r="N5" s="8">
        <v>10000</v>
      </c>
    </row>
    <row r="6" spans="1:14" ht="14.25" customHeight="1" x14ac:dyDescent="0.25">
      <c r="A6" s="5" t="s">
        <v>22</v>
      </c>
      <c r="B6" s="6" t="s">
        <v>23</v>
      </c>
      <c r="C6" s="7">
        <v>6127497.1200000001</v>
      </c>
      <c r="D6" s="7">
        <v>6436234.0300000003</v>
      </c>
      <c r="E6" s="7">
        <v>8424643</v>
      </c>
      <c r="F6" s="7">
        <v>6399539.7999999998</v>
      </c>
      <c r="G6" s="8">
        <v>7255884</v>
      </c>
      <c r="H6" s="8">
        <v>7675530</v>
      </c>
      <c r="I6" s="8">
        <v>7839522</v>
      </c>
      <c r="J6" s="8">
        <v>7957013</v>
      </c>
      <c r="K6" s="8">
        <v>8053552</v>
      </c>
      <c r="L6" s="8">
        <v>8190827</v>
      </c>
      <c r="M6" s="8">
        <v>8311121</v>
      </c>
      <c r="N6" s="8">
        <v>8434539</v>
      </c>
    </row>
    <row r="7" spans="1:14" ht="14.25" customHeight="1" x14ac:dyDescent="0.25">
      <c r="A7" s="5" t="s">
        <v>24</v>
      </c>
      <c r="B7" s="6" t="s">
        <v>25</v>
      </c>
      <c r="C7" s="7">
        <v>2621683.56</v>
      </c>
      <c r="D7" s="7">
        <v>3101191.51</v>
      </c>
      <c r="E7" s="7">
        <v>4049119</v>
      </c>
      <c r="F7" s="7">
        <v>2982683.47</v>
      </c>
      <c r="G7" s="8">
        <v>3407013</v>
      </c>
      <c r="H7" s="8">
        <v>3761446</v>
      </c>
      <c r="I7" s="8">
        <v>3859000</v>
      </c>
      <c r="J7" s="8">
        <v>3909000</v>
      </c>
      <c r="K7" s="8">
        <v>3937000</v>
      </c>
      <c r="L7" s="8">
        <v>4010000</v>
      </c>
      <c r="M7" s="8">
        <v>4066000</v>
      </c>
      <c r="N7" s="8">
        <v>4123000</v>
      </c>
    </row>
    <row r="8" spans="1:14" ht="14.25" customHeight="1" x14ac:dyDescent="0.25">
      <c r="A8" s="5" t="s">
        <v>26</v>
      </c>
      <c r="B8" s="6" t="s">
        <v>27</v>
      </c>
      <c r="C8" s="7">
        <v>11171242</v>
      </c>
      <c r="D8" s="7">
        <v>11989054</v>
      </c>
      <c r="E8" s="7">
        <v>12004839</v>
      </c>
      <c r="F8" s="7">
        <v>12033265</v>
      </c>
      <c r="G8" s="8">
        <v>9919578.5800000001</v>
      </c>
      <c r="H8" s="8">
        <v>12200000</v>
      </c>
      <c r="I8" s="8">
        <v>12519000</v>
      </c>
      <c r="J8" s="8">
        <v>12744000</v>
      </c>
      <c r="K8" s="8">
        <v>13064000</v>
      </c>
      <c r="L8" s="8">
        <v>13366000</v>
      </c>
      <c r="M8" s="8">
        <v>13362000</v>
      </c>
      <c r="N8" s="8">
        <v>13541000</v>
      </c>
    </row>
    <row r="9" spans="1:14" ht="14.25" customHeight="1" x14ac:dyDescent="0.25">
      <c r="A9" s="5" t="s">
        <v>28</v>
      </c>
      <c r="B9" s="6" t="s">
        <v>29</v>
      </c>
      <c r="C9" s="7">
        <v>4991318.72</v>
      </c>
      <c r="D9" s="7">
        <v>10649526.050000001</v>
      </c>
      <c r="E9" s="7">
        <v>11293453.66</v>
      </c>
      <c r="F9" s="7">
        <v>11889750.449999999</v>
      </c>
      <c r="G9" s="8">
        <v>11635506.35</v>
      </c>
      <c r="H9" s="8">
        <v>11798000</v>
      </c>
      <c r="I9" s="8">
        <v>12041000</v>
      </c>
      <c r="J9" s="8">
        <v>12260000</v>
      </c>
      <c r="K9" s="8">
        <v>12426000</v>
      </c>
      <c r="L9" s="8">
        <v>12596000</v>
      </c>
      <c r="M9" s="8">
        <v>12778000</v>
      </c>
      <c r="N9" s="8">
        <v>12962000</v>
      </c>
    </row>
    <row r="10" spans="1:14" hidden="1" x14ac:dyDescent="0.25">
      <c r="A10" s="5" t="s">
        <v>30</v>
      </c>
      <c r="B10" s="6" t="s">
        <v>31</v>
      </c>
      <c r="C10" s="7">
        <v>548629.02</v>
      </c>
      <c r="D10" s="7">
        <v>476785.4</v>
      </c>
      <c r="E10" s="7">
        <v>54911</v>
      </c>
      <c r="F10" s="7">
        <v>487956.28</v>
      </c>
      <c r="G10" s="8">
        <v>572200</v>
      </c>
      <c r="H10" s="8">
        <v>543000</v>
      </c>
      <c r="I10" s="8">
        <v>552000</v>
      </c>
      <c r="J10" s="8">
        <v>565000</v>
      </c>
      <c r="K10" s="8">
        <v>575000</v>
      </c>
      <c r="L10" s="8">
        <v>581000</v>
      </c>
      <c r="M10" s="8">
        <v>590000</v>
      </c>
      <c r="N10" s="8">
        <v>598000</v>
      </c>
    </row>
    <row r="11" spans="1:14" ht="14.25" customHeight="1" x14ac:dyDescent="0.25">
      <c r="A11" s="2" t="s">
        <v>32</v>
      </c>
      <c r="B11" s="3" t="s">
        <v>33</v>
      </c>
      <c r="C11" s="4">
        <f>IF(ISNUMBER(VLOOKUP("1.2.1",A2:N116,3,FALSE)),VLOOKUP("1.2.1",A2:N116,3,FALSE),0) + IF(ISNUMBER(VLOOKUP("1.2.2",A2:N116,3,FALSE)),VLOOKUP("1.2.2",A2:N116,3,FALSE),0) + IF(ISNUMBER(VLOOKUP("1.2.x",A2:N116,3,FALSE)),VLOOKUP("1.2.x",A2:N116,3,FALSE),0)</f>
        <v>2634422.2200000002</v>
      </c>
      <c r="D11" s="4">
        <f>IF(ISNUMBER(VLOOKUP("1.2.1",A2:N116,4,FALSE)),VLOOKUP("1.2.1",A2:N116,4,FALSE),0) + IF(ISNUMBER(VLOOKUP("1.2.2",A2:N116,4,FALSE)),VLOOKUP("1.2.2",A2:N116,4,FALSE),0) + IF(ISNUMBER(VLOOKUP("1.2.x",A2:N116,4,FALSE)),VLOOKUP("1.2.x",A2:N116,4,FALSE),0)</f>
        <v>326540.05</v>
      </c>
      <c r="E11" s="4">
        <f>IF(ISNUMBER(VLOOKUP("1.2.1",A2:N116,5,FALSE)),VLOOKUP("1.2.1",A2:N116,5,FALSE),0) + IF(ISNUMBER(VLOOKUP("1.2.2",A2:N116,5,FALSE)),VLOOKUP("1.2.2",A2:N116,5,FALSE),0) + IF(ISNUMBER(VLOOKUP("1.2.x",A2:N116,5,FALSE)),VLOOKUP("1.2.x",A2:N116,5,FALSE),0)</f>
        <v>476167.36</v>
      </c>
      <c r="F11" s="4">
        <f>IF(ISNUMBER(VLOOKUP("1.2.1",A2:N116,6,FALSE)),VLOOKUP("1.2.1",A2:N116,6,FALSE),0) + IF(ISNUMBER(VLOOKUP("1.2.2",A2:N116,6,FALSE)),VLOOKUP("1.2.2",A2:N116,6,FALSE),0) + IF(ISNUMBER(VLOOKUP("1.2.x",A2:N116,6,FALSE)),VLOOKUP("1.2.x",A2:N116,6,FALSE),0)</f>
        <v>139508.38</v>
      </c>
      <c r="G11" s="4">
        <f>IF(ISNUMBER(VLOOKUP("1.2.1",A2:N116,7,FALSE)),VLOOKUP("1.2.1",A2:N116,7,FALSE),0) + IF(ISNUMBER(VLOOKUP("1.2.2",A2:N116,7,FALSE)),VLOOKUP("1.2.2",A2:N116,7,FALSE),0) + IF(ISNUMBER(VLOOKUP("1.2.x",A2:N116,7,FALSE)),VLOOKUP("1.2.x",A2:N116,7,FALSE),0)</f>
        <v>873864</v>
      </c>
      <c r="H11" s="4">
        <f>IF(ISNUMBER(VLOOKUP("1.2.1",A2:N116,8,FALSE)),VLOOKUP("1.2.1",A2:N116,8,FALSE),0) + IF(ISNUMBER(VLOOKUP("1.2.2",A2:N116,8,FALSE)),VLOOKUP("1.2.2",A2:N116,8,FALSE),0) + IF(ISNUMBER(VLOOKUP("1.2.x",A2:N116,8,FALSE)),VLOOKUP("1.2.x",A2:N116,8,FALSE),0)</f>
        <v>0</v>
      </c>
      <c r="I11" s="4">
        <f>IF(ISNUMBER(VLOOKUP("1.2.1",A2:N116,9,FALSE)),VLOOKUP("1.2.1",A2:N116,9,FALSE),0) + IF(ISNUMBER(VLOOKUP("1.2.2",A2:N116,9,FALSE)),VLOOKUP("1.2.2",A2:N116,9,FALSE),0) + IF(ISNUMBER(VLOOKUP("1.2.x",A2:N116,9,FALSE)),VLOOKUP("1.2.x",A2:N116,9,FALSE),0)</f>
        <v>0</v>
      </c>
      <c r="J11" s="4">
        <f>IF(ISNUMBER(VLOOKUP("1.2.1",A2:N116,10,FALSE)),VLOOKUP("1.2.1",A2:N116,10,FALSE),0) + IF(ISNUMBER(VLOOKUP("1.2.2",A2:N116,10,FALSE)),VLOOKUP("1.2.2",A2:N116,10,FALSE),0) + IF(ISNUMBER(VLOOKUP("1.2.x",A2:N116,10,FALSE)),VLOOKUP("1.2.x",A2:N116,10,FALSE),0)</f>
        <v>0</v>
      </c>
      <c r="K11" s="4">
        <f>IF(ISNUMBER(VLOOKUP("1.2.1",A2:N116,11,FALSE)),VLOOKUP("1.2.1",A2:N116,11,FALSE),0) + IF(ISNUMBER(VLOOKUP("1.2.2",A2:N116,11,FALSE)),VLOOKUP("1.2.2",A2:N116,11,FALSE),0) + IF(ISNUMBER(VLOOKUP("1.2.x",A2:N116,11,FALSE)),VLOOKUP("1.2.x",A2:N116,11,FALSE),0)</f>
        <v>0</v>
      </c>
      <c r="L11" s="4">
        <f>IF(ISNUMBER(VLOOKUP("1.2.1",A2:N116,12,FALSE)),VLOOKUP("1.2.1",A2:N116,12,FALSE),0) + IF(ISNUMBER(VLOOKUP("1.2.2",A2:N116,12,FALSE)),VLOOKUP("1.2.2",A2:N116,12,FALSE),0) + IF(ISNUMBER(VLOOKUP("1.2.x",A2:N116,12,FALSE)),VLOOKUP("1.2.x",A2:N116,12,FALSE),0)</f>
        <v>0</v>
      </c>
      <c r="M11" s="4">
        <f>IF(ISNUMBER(VLOOKUP("1.2.1",A2:N116,13,FALSE)),VLOOKUP("1.2.1",A2:N116,13,FALSE),0) + IF(ISNUMBER(VLOOKUP("1.2.2",A2:N116,13,FALSE)),VLOOKUP("1.2.2",A2:N116,13,FALSE),0) + IF(ISNUMBER(VLOOKUP("1.2.x",A2:N116,13,FALSE)),VLOOKUP("1.2.x",A2:N116,13,FALSE),0)</f>
        <v>0</v>
      </c>
      <c r="N11" s="4">
        <f>IF(ISNUMBER(VLOOKUP("1.2.1",A2:N116,14,FALSE)),VLOOKUP("1.2.1",A2:N116,14,FALSE),0) + IF(ISNUMBER(VLOOKUP("1.2.2",A2:N116,14,FALSE)),VLOOKUP("1.2.2",A2:N116,14,FALSE),0) + IF(ISNUMBER(VLOOKUP("1.2.x",A2:N116,14,FALSE)),VLOOKUP("1.2.x",A2:N116,14,FALSE),0)</f>
        <v>0</v>
      </c>
    </row>
    <row r="12" spans="1:14" ht="14.25" customHeight="1" x14ac:dyDescent="0.25">
      <c r="A12" s="5" t="s">
        <v>34</v>
      </c>
      <c r="B12" s="6" t="s">
        <v>35</v>
      </c>
      <c r="C12" s="7">
        <v>406866.08</v>
      </c>
      <c r="D12" s="7">
        <v>302197.25</v>
      </c>
      <c r="E12" s="7">
        <v>361900</v>
      </c>
      <c r="F12" s="7">
        <v>122951.02</v>
      </c>
      <c r="G12" s="8">
        <v>358800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27" customHeight="1" x14ac:dyDescent="0.25">
      <c r="A13" s="5" t="s">
        <v>36</v>
      </c>
      <c r="B13" s="6" t="s">
        <v>37</v>
      </c>
      <c r="C13" s="7">
        <v>2166478.14</v>
      </c>
      <c r="D13" s="7">
        <v>24342.799999999999</v>
      </c>
      <c r="E13" s="7">
        <v>114267.36</v>
      </c>
      <c r="F13" s="7">
        <v>16557.36</v>
      </c>
      <c r="G13" s="8">
        <v>515064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idden="1" x14ac:dyDescent="0.25">
      <c r="A14" s="5" t="s">
        <v>38</v>
      </c>
      <c r="B14" s="6" t="s">
        <v>31</v>
      </c>
      <c r="C14" s="7">
        <v>61078</v>
      </c>
      <c r="D14" s="7">
        <v>0</v>
      </c>
      <c r="E14" s="7">
        <v>0</v>
      </c>
      <c r="F14" s="7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4.25" customHeight="1" x14ac:dyDescent="0.25">
      <c r="A15" s="2" t="s">
        <v>39</v>
      </c>
      <c r="B15" s="3" t="s">
        <v>40</v>
      </c>
      <c r="C15" s="4">
        <f>IF(ISNUMBER(VLOOKUP("2.1",A2:N116,3,FALSE)),VLOOKUP("2.1",A2:N116,3,FALSE),0) + IF(ISNUMBER(VLOOKUP("2.2",A2:N116,3,FALSE)),VLOOKUP("2.2",A2:N116,3,FALSE),0)</f>
        <v>27276925.899999999</v>
      </c>
      <c r="D15" s="4">
        <f>IF(ISNUMBER(VLOOKUP("2.1",A2:N116,4,FALSE)),VLOOKUP("2.1",A2:N116,4,FALSE),0) + IF(ISNUMBER(VLOOKUP("2.2",A2:N116,4,FALSE)),VLOOKUP("2.2",A2:N116,4,FALSE),0)</f>
        <v>31388118.189999998</v>
      </c>
      <c r="E15" s="4">
        <f>IF(ISNUMBER(VLOOKUP("2.1",A2:N116,5,FALSE)),VLOOKUP("2.1",A2:N116,5,FALSE),0) + IF(ISNUMBER(VLOOKUP("2.2",A2:N116,5,FALSE)),VLOOKUP("2.2",A2:N116,5,FALSE),0)</f>
        <v>34116419.020000003</v>
      </c>
      <c r="F15" s="4">
        <f>IF(ISNUMBER(VLOOKUP("2.1",A2:N116,6,FALSE)),VLOOKUP("2.1",A2:N116,6,FALSE),0) + IF(ISNUMBER(VLOOKUP("2.2",A2:N116,6,FALSE)),VLOOKUP("2.2",A2:N116,6,FALSE),0)</f>
        <v>32608032.210000005</v>
      </c>
      <c r="G15" s="4">
        <f>IF(ISNUMBER(VLOOKUP("2.1",A2:N116,7,FALSE)),VLOOKUP("2.1",A2:N116,7,FALSE),0) + IF(ISNUMBER(VLOOKUP("2.2",A2:N116,7,FALSE)),VLOOKUP("2.2",A2:N116,7,FALSE),0)</f>
        <v>37636580.079999998</v>
      </c>
      <c r="H15" s="4">
        <f>IF(ISNUMBER(VLOOKUP("2.1",A2:N116,8,FALSE)),VLOOKUP("2.1",A2:N116,8,FALSE),0) + IF(ISNUMBER(VLOOKUP("2.2",A2:N116,8,FALSE)),VLOOKUP("2.2",A2:N116,8,FALSE),0)</f>
        <v>34444947.009999998</v>
      </c>
      <c r="I15" s="4">
        <f>IF(ISNUMBER(VLOOKUP("2.1",A2:N116,9,FALSE)),VLOOKUP("2.1",A2:N116,9,FALSE),0) + IF(ISNUMBER(VLOOKUP("2.2",A2:N116,9,FALSE)),VLOOKUP("2.2",A2:N116,9,FALSE),0)</f>
        <v>35342962.93</v>
      </c>
      <c r="J15" s="4">
        <f>IF(ISNUMBER(VLOOKUP("2.1",A2:N116,10,FALSE)),VLOOKUP("2.1",A2:N116,10,FALSE),0) + IF(ISNUMBER(VLOOKUP("2.2",A2:N116,10,FALSE)),VLOOKUP("2.2",A2:N116,10,FALSE),0)</f>
        <v>35753513</v>
      </c>
      <c r="K15" s="4">
        <f>IF(ISNUMBER(VLOOKUP("2.1",A2:N116,11,FALSE)),VLOOKUP("2.1",A2:N116,11,FALSE),0) + IF(ISNUMBER(VLOOKUP("2.2",A2:N116,11,FALSE)),VLOOKUP("2.2",A2:N116,11,FALSE),0)</f>
        <v>36416873</v>
      </c>
      <c r="L15" s="4">
        <f>IF(ISNUMBER(VLOOKUP("2.1",A2:N116,12,FALSE)),VLOOKUP("2.1",A2:N116,12,FALSE),0) + IF(ISNUMBER(VLOOKUP("2.2",A2:N116,12,FALSE)),VLOOKUP("2.2",A2:N116,12,FALSE),0)</f>
        <v>38113827</v>
      </c>
      <c r="M15" s="4">
        <f>IF(ISNUMBER(VLOOKUP("2.1",A2:N116,13,FALSE)),VLOOKUP("2.1",A2:N116,13,FALSE),0) + IF(ISNUMBER(VLOOKUP("2.2",A2:N116,13,FALSE)),VLOOKUP("2.2",A2:N116,13,FALSE),0)</f>
        <v>38483121</v>
      </c>
      <c r="N15" s="4">
        <f>IF(ISNUMBER(VLOOKUP("2.1",A2:N116,14,FALSE)),VLOOKUP("2.1",A2:N116,14,FALSE),0) + IF(ISNUMBER(VLOOKUP("2.2",A2:N116,14,FALSE)),VLOOKUP("2.2",A2:N116,14,FALSE),0)</f>
        <v>38797539</v>
      </c>
    </row>
    <row r="16" spans="1:14" ht="14.25" customHeight="1" x14ac:dyDescent="0.25">
      <c r="A16" s="2" t="s">
        <v>41</v>
      </c>
      <c r="B16" s="3" t="s">
        <v>42</v>
      </c>
      <c r="C16" s="4">
        <f>IF(ISNUMBER(VLOOKUP("2.1.1",A2:N116,3,FALSE)),VLOOKUP("2.1.1",A2:N116,3,FALSE),0) + IF(ISNUMBER(VLOOKUP("2.1.3",A2:N116,3,FALSE)),VLOOKUP("2.1.3",A2:N116,3,FALSE),0) + IF(ISNUMBER(VLOOKUP("2.1.x",A2:N116,3,FALSE)),VLOOKUP("2.1.x",A2:N116,3,FALSE),0) + IF(ISNUMBER(VLOOKUP("11.1",A2:N116,3,FALSE)),VLOOKUP("11.1",A2:N116,3,FALSE),0)</f>
        <v>22636906.75</v>
      </c>
      <c r="D16" s="4">
        <f>IF(ISNUMBER(VLOOKUP("2.1.1",A2:N116,4,FALSE)),VLOOKUP("2.1.1",A2:N116,4,FALSE),0) + IF(ISNUMBER(VLOOKUP("2.1.3",A2:N116,4,FALSE)),VLOOKUP("2.1.3",A2:N116,4,FALSE),0) + IF(ISNUMBER(VLOOKUP("2.1.x",A2:N116,4,FALSE)),VLOOKUP("2.1.x",A2:N116,4,FALSE),0) + IF(ISNUMBER(VLOOKUP("11.1",A2:N116,4,FALSE)),VLOOKUP("11.1",A2:N116,4,FALSE),0)</f>
        <v>29619293.329999998</v>
      </c>
      <c r="E16" s="4">
        <f>IF(ISNUMBER(VLOOKUP("2.1.1",A2:N116,5,FALSE)),VLOOKUP("2.1.1",A2:N116,5,FALSE),0) + IF(ISNUMBER(VLOOKUP("2.1.3",A2:N116,5,FALSE)),VLOOKUP("2.1.3",A2:N116,5,FALSE),0) + IF(ISNUMBER(VLOOKUP("2.1.x",A2:N116,5,FALSE)),VLOOKUP("2.1.x",A2:N116,5,FALSE),0) + IF(ISNUMBER(VLOOKUP("11.1",A2:N116,5,FALSE)),VLOOKUP("11.1",A2:N116,5,FALSE),0)</f>
        <v>32500143.66</v>
      </c>
      <c r="F16" s="4">
        <f>IF(ISNUMBER(VLOOKUP("2.1.1",A2:N116,6,FALSE)),VLOOKUP("2.1.1",A2:N116,6,FALSE),0) + IF(ISNUMBER(VLOOKUP("2.1.3",A2:N116,6,FALSE)),VLOOKUP("2.1.3",A2:N116,6,FALSE),0) + IF(ISNUMBER(VLOOKUP("2.1.x",A2:N116,6,FALSE)),VLOOKUP("2.1.x",A2:N116,6,FALSE),0) + IF(ISNUMBER(VLOOKUP("11.1",A2:N116,6,FALSE)),VLOOKUP("11.1",A2:N116,6,FALSE),0)</f>
        <v>31767660.410000004</v>
      </c>
      <c r="G16" s="4">
        <f>IF(ISNUMBER(VLOOKUP("2.1.1",A2:N116,7,FALSE)),VLOOKUP("2.1.1",A2:N116,7,FALSE),0) + IF(ISNUMBER(VLOOKUP("2.1.3",A2:N116,7,FALSE)),VLOOKUP("2.1.3",A2:N116,7,FALSE),0) + IF(ISNUMBER(VLOOKUP("2.1.x",A2:N116,7,FALSE)),VLOOKUP("2.1.x",A2:N116,7,FALSE),0) + IF(ISNUMBER(VLOOKUP("11.1",A2:N116,7,FALSE)),VLOOKUP("11.1",A2:N116,7,FALSE),0)</f>
        <v>35265548.079999998</v>
      </c>
      <c r="H16" s="4">
        <f>IF(ISNUMBER(VLOOKUP("2.1.1",A2:N116,8,FALSE)),VLOOKUP("2.1.1",A2:N116,8,FALSE),0) + IF(ISNUMBER(VLOOKUP("2.1.3",A2:N116,8,FALSE)),VLOOKUP("2.1.3",A2:N116,8,FALSE),0) + IF(ISNUMBER(VLOOKUP("2.1.x",A2:N116,8,FALSE)),VLOOKUP("2.1.x",A2:N116,8,FALSE),0) + IF(ISNUMBER(VLOOKUP("11.1",A2:N116,8,FALSE)),VLOOKUP("11.1",A2:N116,8,FALSE),0)</f>
        <v>32523352</v>
      </c>
      <c r="I16" s="4">
        <f>IF(ISNUMBER(VLOOKUP("2.1.1",A2:N116,9,FALSE)),VLOOKUP("2.1.1",A2:N116,9,FALSE),0) + IF(ISNUMBER(VLOOKUP("2.1.3",A2:N116,9,FALSE)),VLOOKUP("2.1.3",A2:N116,9,FALSE),0) + IF(ISNUMBER(VLOOKUP("2.1.x",A2:N116,9,FALSE)),VLOOKUP("2.1.x",A2:N116,9,FALSE),0) + IF(ISNUMBER(VLOOKUP("11.1",A2:N116,9,FALSE)),VLOOKUP("11.1",A2:N116,9,FALSE),0)</f>
        <v>33110885</v>
      </c>
      <c r="J16" s="4">
        <f>IF(ISNUMBER(VLOOKUP("2.1.1",A2:N116,10,FALSE)),VLOOKUP("2.1.1",A2:N116,10,FALSE),0) + IF(ISNUMBER(VLOOKUP("2.1.3",A2:N116,10,FALSE)),VLOOKUP("2.1.3",A2:N116,10,FALSE),0) + IF(ISNUMBER(VLOOKUP("2.1.x",A2:N116,10,FALSE)),VLOOKUP("2.1.x",A2:N116,10,FALSE),0) + IF(ISNUMBER(VLOOKUP("11.1",A2:N116,10,FALSE)),VLOOKUP("11.1",A2:N116,10,FALSE),0)</f>
        <v>33610495</v>
      </c>
      <c r="K16" s="4">
        <f>IF(ISNUMBER(VLOOKUP("2.1.1",A2:N116,11,FALSE)),VLOOKUP("2.1.1",A2:N116,11,FALSE),0) + IF(ISNUMBER(VLOOKUP("2.1.3",A2:N116,11,FALSE)),VLOOKUP("2.1.3",A2:N116,11,FALSE),0) + IF(ISNUMBER(VLOOKUP("2.1.x",A2:N116,11,FALSE)),VLOOKUP("2.1.x",A2:N116,11,FALSE),0) + IF(ISNUMBER(VLOOKUP("11.1",A2:N116,11,FALSE)),VLOOKUP("11.1",A2:N116,11,FALSE),0)</f>
        <v>34030583</v>
      </c>
      <c r="L16" s="4">
        <f>IF(ISNUMBER(VLOOKUP("2.1.1",A2:N116,12,FALSE)),VLOOKUP("2.1.1",A2:N116,12,FALSE),0) + IF(ISNUMBER(VLOOKUP("2.1.3",A2:N116,12,FALSE)),VLOOKUP("2.1.3",A2:N116,12,FALSE),0) + IF(ISNUMBER(VLOOKUP("2.1.x",A2:N116,12,FALSE)),VLOOKUP("2.1.x",A2:N116,12,FALSE),0) + IF(ISNUMBER(VLOOKUP("11.1",A2:N116,12,FALSE)),VLOOKUP("11.1",A2:N116,12,FALSE),0)</f>
        <v>34456888</v>
      </c>
      <c r="M16" s="4">
        <f>IF(ISNUMBER(VLOOKUP("2.1.1",A2:N116,13,FALSE)),VLOOKUP("2.1.1",A2:N116,13,FALSE),0) + IF(ISNUMBER(VLOOKUP("2.1.3",A2:N116,13,FALSE)),VLOOKUP("2.1.3",A2:N116,13,FALSE),0) + IF(ISNUMBER(VLOOKUP("2.1.x",A2:N116,13,FALSE)),VLOOKUP("2.1.x",A2:N116,13,FALSE),0) + IF(ISNUMBER(VLOOKUP("11.1",A2:N116,13,FALSE)),VLOOKUP("11.1",A2:N116,13,FALSE),0)</f>
        <v>35045905</v>
      </c>
      <c r="N16" s="4">
        <f>IF(ISNUMBER(VLOOKUP("2.1.1",A2:N116,14,FALSE)),VLOOKUP("2.1.1",A2:N116,14,FALSE),0) + IF(ISNUMBER(VLOOKUP("2.1.3",A2:N116,14,FALSE)),VLOOKUP("2.1.3",A2:N116,14,FALSE),0) + IF(ISNUMBER(VLOOKUP("2.1.x",A2:N116,14,FALSE)),VLOOKUP("2.1.x",A2:N116,14,FALSE),0) + IF(ISNUMBER(VLOOKUP("11.1",A2:N116,14,FALSE)),VLOOKUP("11.1",A2:N116,14,FALSE),0)</f>
        <v>35636833</v>
      </c>
    </row>
    <row r="17" spans="1:14" ht="14.25" customHeight="1" x14ac:dyDescent="0.25">
      <c r="A17" s="5" t="s">
        <v>43</v>
      </c>
      <c r="B17" s="6" t="s">
        <v>44</v>
      </c>
      <c r="C17" s="9">
        <v>0</v>
      </c>
      <c r="D17" s="9">
        <v>0</v>
      </c>
      <c r="E17" s="9">
        <v>32000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</row>
    <row r="18" spans="1:14" ht="39.950000000000003" customHeight="1" x14ac:dyDescent="0.25">
      <c r="A18" s="5" t="s">
        <v>45</v>
      </c>
      <c r="B18" s="6" t="s">
        <v>46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</row>
    <row r="19" spans="1:14" ht="65.650000000000006" customHeight="1" x14ac:dyDescent="0.25">
      <c r="A19" s="5" t="s">
        <v>47</v>
      </c>
      <c r="B19" s="6" t="s">
        <v>48</v>
      </c>
      <c r="C19" s="7">
        <v>0</v>
      </c>
      <c r="D19" s="7">
        <v>0</v>
      </c>
      <c r="E19" s="7">
        <v>0</v>
      </c>
      <c r="F19" s="7">
        <v>0</v>
      </c>
      <c r="G19" s="8">
        <v>0</v>
      </c>
      <c r="H19" s="9" t="s">
        <v>49</v>
      </c>
      <c r="I19" s="9" t="s">
        <v>49</v>
      </c>
      <c r="J19" s="9" t="s">
        <v>49</v>
      </c>
      <c r="K19" s="9" t="s">
        <v>49</v>
      </c>
      <c r="L19" s="9" t="s">
        <v>49</v>
      </c>
      <c r="M19" s="9" t="s">
        <v>49</v>
      </c>
      <c r="N19" s="9" t="s">
        <v>49</v>
      </c>
    </row>
    <row r="20" spans="1:14" ht="14.25" customHeight="1" x14ac:dyDescent="0.25">
      <c r="A20" s="5" t="s">
        <v>50</v>
      </c>
      <c r="B20" s="6" t="s">
        <v>51</v>
      </c>
      <c r="C20" s="9">
        <v>640000</v>
      </c>
      <c r="D20" s="9">
        <v>579427.9</v>
      </c>
      <c r="E20" s="9">
        <v>600000</v>
      </c>
      <c r="F20" s="9">
        <v>555654.01</v>
      </c>
      <c r="G20" s="9">
        <v>240778.03</v>
      </c>
      <c r="H20" s="9">
        <v>398124</v>
      </c>
      <c r="I20" s="9">
        <v>341824</v>
      </c>
      <c r="J20" s="9">
        <v>275814</v>
      </c>
      <c r="K20" s="9">
        <v>198394</v>
      </c>
      <c r="L20" s="9">
        <v>133084</v>
      </c>
      <c r="M20" s="9">
        <v>84584</v>
      </c>
      <c r="N20" s="9">
        <v>30167</v>
      </c>
    </row>
    <row r="21" spans="1:14" ht="27" customHeight="1" x14ac:dyDescent="0.25">
      <c r="A21" s="5" t="s">
        <v>52</v>
      </c>
      <c r="B21" s="6" t="s">
        <v>53</v>
      </c>
      <c r="C21" s="9">
        <v>640000</v>
      </c>
      <c r="D21" s="9">
        <v>579427.9</v>
      </c>
      <c r="E21" s="9">
        <v>600000</v>
      </c>
      <c r="F21" s="9">
        <v>555654.01</v>
      </c>
      <c r="G21" s="9">
        <v>240778.03</v>
      </c>
      <c r="H21" s="9">
        <v>398124</v>
      </c>
      <c r="I21" s="9">
        <v>341824</v>
      </c>
      <c r="J21" s="9">
        <v>275814</v>
      </c>
      <c r="K21" s="9">
        <v>198394</v>
      </c>
      <c r="L21" s="9">
        <v>133084</v>
      </c>
      <c r="M21" s="9">
        <v>84584</v>
      </c>
      <c r="N21" s="9">
        <v>30167</v>
      </c>
    </row>
    <row r="22" spans="1:14" ht="65.650000000000006" customHeight="1" x14ac:dyDescent="0.25">
      <c r="A22" s="5" t="s">
        <v>54</v>
      </c>
      <c r="B22" s="6" t="s">
        <v>55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</row>
    <row r="23" spans="1:14" ht="39.950000000000003" customHeight="1" x14ac:dyDescent="0.25">
      <c r="A23" s="5" t="s">
        <v>56</v>
      </c>
      <c r="B23" s="6" t="s">
        <v>57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</row>
    <row r="24" spans="1:14" hidden="1" x14ac:dyDescent="0.25">
      <c r="A24" s="5" t="s">
        <v>58</v>
      </c>
      <c r="B24" s="6" t="s">
        <v>31</v>
      </c>
      <c r="C24" s="7">
        <v>12277568.310000001</v>
      </c>
      <c r="D24" s="7">
        <v>18932790.460000001</v>
      </c>
      <c r="E24" s="7">
        <v>20079109.390000001</v>
      </c>
      <c r="F24" s="7">
        <v>19703383.41</v>
      </c>
      <c r="G24" s="8">
        <v>22620611.940000001</v>
      </c>
      <c r="H24" s="8">
        <v>20699228</v>
      </c>
      <c r="I24" s="8">
        <v>21154061</v>
      </c>
      <c r="J24" s="8">
        <v>21502681</v>
      </c>
      <c r="K24" s="8">
        <v>21852189</v>
      </c>
      <c r="L24" s="8">
        <v>22165804</v>
      </c>
      <c r="M24" s="8">
        <v>22623321</v>
      </c>
      <c r="N24" s="8">
        <v>23085666</v>
      </c>
    </row>
    <row r="25" spans="1:14" ht="14.25" customHeight="1" x14ac:dyDescent="0.25">
      <c r="A25" s="2" t="s">
        <v>59</v>
      </c>
      <c r="B25" s="3" t="s">
        <v>60</v>
      </c>
      <c r="C25" s="4">
        <f>IF(ISNUMBER(VLOOKUP("11.4",A2:N116,3,FALSE)),VLOOKUP("11.4",A2:N116,3,FALSE),0) + IF(ISNUMBER(VLOOKUP("11.5",A2:N116,3,FALSE)),VLOOKUP("11.5",A2:N116,3,FALSE),0) + IF(ISNUMBER(VLOOKUP("11.6",A2:N116,3,FALSE)),VLOOKUP("11.6",A2:N116,3,FALSE),0) + IF(ISNUMBER(VLOOKUP("11.x",A2:N116,3,FALSE)),VLOOKUP("11.x",A2:N116,3,FALSE),0)</f>
        <v>4640019.1500000004</v>
      </c>
      <c r="D25" s="4">
        <f>IF(ISNUMBER(VLOOKUP("11.4",A2:N116,4,FALSE)),VLOOKUP("11.4",A2:N116,4,FALSE),0) + IF(ISNUMBER(VLOOKUP("11.5",A2:N116,4,FALSE)),VLOOKUP("11.5",A2:N116,4,FALSE),0) + IF(ISNUMBER(VLOOKUP("11.6",A2:N116,4,FALSE)),VLOOKUP("11.6",A2:N116,4,FALSE),0) + IF(ISNUMBER(VLOOKUP("11.x",A2:N116,4,FALSE)),VLOOKUP("11.x",A2:N116,4,FALSE),0)</f>
        <v>1768824.86</v>
      </c>
      <c r="E25" s="4">
        <f>IF(ISNUMBER(VLOOKUP("11.4",A2:N116,5,FALSE)),VLOOKUP("11.4",A2:N116,5,FALSE),0) + IF(ISNUMBER(VLOOKUP("11.5",A2:N116,5,FALSE)),VLOOKUP("11.5",A2:N116,5,FALSE),0) + IF(ISNUMBER(VLOOKUP("11.6",A2:N116,5,FALSE)),VLOOKUP("11.6",A2:N116,5,FALSE),0) + IF(ISNUMBER(VLOOKUP("11.x",A2:N116,5,FALSE)),VLOOKUP("11.x",A2:N116,5,FALSE),0)</f>
        <v>1616275.36</v>
      </c>
      <c r="F25" s="4">
        <f>IF(ISNUMBER(VLOOKUP("11.4",A2:N116,6,FALSE)),VLOOKUP("11.4",A2:N116,6,FALSE),0) + IF(ISNUMBER(VLOOKUP("11.5",A2:N116,6,FALSE)),VLOOKUP("11.5",A2:N116,6,FALSE),0) + IF(ISNUMBER(VLOOKUP("11.6",A2:N116,6,FALSE)),VLOOKUP("11.6",A2:N116,6,FALSE),0) + IF(ISNUMBER(VLOOKUP("11.x",A2:N116,6,FALSE)),VLOOKUP("11.x",A2:N116,6,FALSE),0)</f>
        <v>840371.8</v>
      </c>
      <c r="G25" s="4">
        <f>IF(ISNUMBER(VLOOKUP("11.4",A2:N116,7,FALSE)),VLOOKUP("11.4",A2:N116,7,FALSE),0) + IF(ISNUMBER(VLOOKUP("11.5",A2:N116,7,FALSE)),VLOOKUP("11.5",A2:N116,7,FALSE),0) + IF(ISNUMBER(VLOOKUP("11.6",A2:N116,7,FALSE)),VLOOKUP("11.6",A2:N116,7,FALSE),0) + IF(ISNUMBER(VLOOKUP("11.x",A2:N116,7,FALSE)),VLOOKUP("11.x",A2:N116,7,FALSE),0)</f>
        <v>2371032</v>
      </c>
      <c r="H25" s="4">
        <f>IF(ISNUMBER(VLOOKUP("11.4",A2:N116,8,FALSE)),VLOOKUP("11.4",A2:N116,8,FALSE),0) + IF(ISNUMBER(VLOOKUP("11.5",A2:N116,8,FALSE)),VLOOKUP("11.5",A2:N116,8,FALSE),0) + IF(ISNUMBER(VLOOKUP("11.6",A2:N116,8,FALSE)),VLOOKUP("11.6",A2:N116,8,FALSE),0) + IF(ISNUMBER(VLOOKUP("11.x",A2:N116,8,FALSE)),VLOOKUP("11.x",A2:N116,8,FALSE),0)</f>
        <v>1921595.01</v>
      </c>
      <c r="I25" s="4">
        <f>IF(ISNUMBER(VLOOKUP("11.4",A2:N116,9,FALSE)),VLOOKUP("11.4",A2:N116,9,FALSE),0) + IF(ISNUMBER(VLOOKUP("11.5",A2:N116,9,FALSE)),VLOOKUP("11.5",A2:N116,9,FALSE),0) + IF(ISNUMBER(VLOOKUP("11.6",A2:N116,9,FALSE)),VLOOKUP("11.6",A2:N116,9,FALSE),0) + IF(ISNUMBER(VLOOKUP("11.x",A2:N116,9,FALSE)),VLOOKUP("11.x",A2:N116,9,FALSE),0)</f>
        <v>2232077.9299999997</v>
      </c>
      <c r="J25" s="4">
        <f>IF(ISNUMBER(VLOOKUP("11.4",A2:N116,10,FALSE)),VLOOKUP("11.4",A2:N116,10,FALSE),0) + IF(ISNUMBER(VLOOKUP("11.5",A2:N116,10,FALSE)),VLOOKUP("11.5",A2:N116,10,FALSE),0) + IF(ISNUMBER(VLOOKUP("11.6",A2:N116,10,FALSE)),VLOOKUP("11.6",A2:N116,10,FALSE),0) + IF(ISNUMBER(VLOOKUP("11.x",A2:N116,10,FALSE)),VLOOKUP("11.x",A2:N116,10,FALSE),0)</f>
        <v>2143018</v>
      </c>
      <c r="K25" s="4">
        <f>IF(ISNUMBER(VLOOKUP("11.4",A2:N116,11,FALSE)),VLOOKUP("11.4",A2:N116,11,FALSE),0) + IF(ISNUMBER(VLOOKUP("11.5",A2:N116,11,FALSE)),VLOOKUP("11.5",A2:N116,11,FALSE),0) + IF(ISNUMBER(VLOOKUP("11.6",A2:N116,11,FALSE)),VLOOKUP("11.6",A2:N116,11,FALSE),0) + IF(ISNUMBER(VLOOKUP("11.x",A2:N116,11,FALSE)),VLOOKUP("11.x",A2:N116,11,FALSE),0)</f>
        <v>2386290</v>
      </c>
      <c r="L25" s="4">
        <f>IF(ISNUMBER(VLOOKUP("11.4",A2:N116,12,FALSE)),VLOOKUP("11.4",A2:N116,12,FALSE),0) + IF(ISNUMBER(VLOOKUP("11.5",A2:N116,12,FALSE)),VLOOKUP("11.5",A2:N116,12,FALSE),0) + IF(ISNUMBER(VLOOKUP("11.6",A2:N116,12,FALSE)),VLOOKUP("11.6",A2:N116,12,FALSE),0) + IF(ISNUMBER(VLOOKUP("11.x",A2:N116,12,FALSE)),VLOOKUP("11.x",A2:N116,12,FALSE),0)</f>
        <v>3656939</v>
      </c>
      <c r="M25" s="4">
        <f>IF(ISNUMBER(VLOOKUP("11.4",A2:N116,13,FALSE)),VLOOKUP("11.4",A2:N116,13,FALSE),0) + IF(ISNUMBER(VLOOKUP("11.5",A2:N116,13,FALSE)),VLOOKUP("11.5",A2:N116,13,FALSE),0) + IF(ISNUMBER(VLOOKUP("11.6",A2:N116,13,FALSE)),VLOOKUP("11.6",A2:N116,13,FALSE),0) + IF(ISNUMBER(VLOOKUP("11.x",A2:N116,13,FALSE)),VLOOKUP("11.x",A2:N116,13,FALSE),0)</f>
        <v>3437216</v>
      </c>
      <c r="N25" s="4">
        <f>IF(ISNUMBER(VLOOKUP("11.4",A2:N116,14,FALSE)),VLOOKUP("11.4",A2:N116,14,FALSE),0) + IF(ISNUMBER(VLOOKUP("11.5",A2:N116,14,FALSE)),VLOOKUP("11.5",A2:N116,14,FALSE),0) + IF(ISNUMBER(VLOOKUP("11.6",A2:N116,14,FALSE)),VLOOKUP("11.6",A2:N116,14,FALSE),0) + IF(ISNUMBER(VLOOKUP("11.x",A2:N116,14,FALSE)),VLOOKUP("11.x",A2:N116,14,FALSE),0)</f>
        <v>3160706</v>
      </c>
    </row>
    <row r="26" spans="1:14" ht="14.25" customHeight="1" x14ac:dyDescent="0.25">
      <c r="A26" s="2" t="s">
        <v>61</v>
      </c>
      <c r="B26" s="3" t="s">
        <v>62</v>
      </c>
      <c r="C26" s="4">
        <f>IF(ISNUMBER(VLOOKUP("1",A2:N116,3,FALSE)),VLOOKUP("1",A2:N116,3,FALSE),0) -IF(ISNUMBER(VLOOKUP("2",A2:N116,3,FALSE)),VLOOKUP("2",A2:N116,3,FALSE),0)</f>
        <v>1148590.4199999981</v>
      </c>
      <c r="D26" s="4">
        <f>IF(ISNUMBER(VLOOKUP("1",A2:N116,4,FALSE)),VLOOKUP("1",A2:N116,4,FALSE),0) -IF(ISNUMBER(VLOOKUP("2",A2:N116,4,FALSE)),VLOOKUP("2",A2:N116,4,FALSE),0)</f>
        <v>1929204.450000003</v>
      </c>
      <c r="E26" s="4">
        <f>IF(ISNUMBER(VLOOKUP("1",A2:N116,5,FALSE)),VLOOKUP("1",A2:N116,5,FALSE),0) -IF(ISNUMBER(VLOOKUP("2",A2:N116,5,FALSE)),VLOOKUP("2",A2:N116,5,FALSE),0)</f>
        <v>1907676.9999999925</v>
      </c>
      <c r="F26" s="4">
        <f>IF(ISNUMBER(VLOOKUP("1",A2:N116,6,FALSE)),VLOOKUP("1",A2:N116,6,FALSE),0) -IF(ISNUMBER(VLOOKUP("2",A2:N116,6,FALSE)),VLOOKUP("2",A2:N116,6,FALSE),0)</f>
        <v>2190333.6699999981</v>
      </c>
      <c r="G26" s="4">
        <f>IF(ISNUMBER(VLOOKUP("1",A2:N116,7,FALSE)),VLOOKUP("1",A2:N116,7,FALSE),0) -IF(ISNUMBER(VLOOKUP("2",A2:N116,7,FALSE)),VLOOKUP("2",A2:N116,7,FALSE),0)</f>
        <v>-3290217.1499999985</v>
      </c>
      <c r="H26" s="4">
        <f>IF(ISNUMBER(VLOOKUP("1",A2:N116,8,FALSE)),VLOOKUP("1",A2:N116,8,FALSE),0) -IF(ISNUMBER(VLOOKUP("2",A2:N116,8,FALSE)),VLOOKUP("2",A2:N116,8,FALSE),0)</f>
        <v>1888582.9900000021</v>
      </c>
      <c r="I26" s="4">
        <f>IF(ISNUMBER(VLOOKUP("1",A2:N116,9,FALSE)),VLOOKUP("1",A2:N116,9,FALSE),0) -IF(ISNUMBER(VLOOKUP("2",A2:N116,9,FALSE)),VLOOKUP("2",A2:N116,9,FALSE),0)</f>
        <v>1810559.0700000003</v>
      </c>
      <c r="J26" s="4">
        <f>IF(ISNUMBER(VLOOKUP("1",A2:N116,10,FALSE)),VLOOKUP("1",A2:N116,10,FALSE),0) -IF(ISNUMBER(VLOOKUP("2",A2:N116,10,FALSE)),VLOOKUP("2",A2:N116,10,FALSE),0)</f>
        <v>2017500</v>
      </c>
      <c r="K26" s="4">
        <f>IF(ISNUMBER(VLOOKUP("1",A2:N116,11,FALSE)),VLOOKUP("1",A2:N116,11,FALSE),0) -IF(ISNUMBER(VLOOKUP("2",A2:N116,11,FALSE)),VLOOKUP("2",A2:N116,11,FALSE),0)</f>
        <v>2026679</v>
      </c>
      <c r="L26" s="4">
        <f>IF(ISNUMBER(VLOOKUP("1",A2:N116,12,FALSE)),VLOOKUP("1",A2:N116,12,FALSE),0) -IF(ISNUMBER(VLOOKUP("2",A2:N116,12,FALSE)),VLOOKUP("2",A2:N116,12,FALSE),0)</f>
        <v>1000000</v>
      </c>
      <c r="M26" s="4">
        <f>IF(ISNUMBER(VLOOKUP("1",A2:N116,13,FALSE)),VLOOKUP("1",A2:N116,13,FALSE),0) -IF(ISNUMBER(VLOOKUP("2",A2:N116,13,FALSE)),VLOOKUP("2",A2:N116,13,FALSE),0)</f>
        <v>1000000</v>
      </c>
      <c r="N26" s="4">
        <f>IF(ISNUMBER(VLOOKUP("1",A2:N116,14,FALSE)),VLOOKUP("1",A2:N116,14,FALSE),0) -IF(ISNUMBER(VLOOKUP("2",A2:N116,14,FALSE)),VLOOKUP("2",A2:N116,14,FALSE),0)</f>
        <v>1244000</v>
      </c>
    </row>
    <row r="27" spans="1:14" ht="14.25" customHeight="1" x14ac:dyDescent="0.25">
      <c r="A27" s="2" t="s">
        <v>63</v>
      </c>
      <c r="B27" s="3" t="s">
        <v>64</v>
      </c>
      <c r="C27" s="4">
        <f>IF(ISNUMBER(VLOOKUP("4.1",A2:N116,3,FALSE)),VLOOKUP("4.1",A2:N116,3,FALSE),0) + IF(ISNUMBER(VLOOKUP("4.2",A2:N116,3,FALSE)),VLOOKUP("4.2",A2:N116,3,FALSE),0) + IF(ISNUMBER(VLOOKUP("4.3",A2:N116,3,FALSE)),VLOOKUP("4.3",A2:N116,3,FALSE),0) + IF(ISNUMBER(VLOOKUP("4.4",A2:N116,3,FALSE)),VLOOKUP("4.4",A2:N116,3,FALSE),0)</f>
        <v>641000</v>
      </c>
      <c r="D27" s="4">
        <f>IF(ISNUMBER(VLOOKUP("4.1",A2:N116,4,FALSE)),VLOOKUP("4.1",A2:N116,4,FALSE),0) + IF(ISNUMBER(VLOOKUP("4.2",A2:N116,4,FALSE)),VLOOKUP("4.2",A2:N116,4,FALSE),0) + IF(ISNUMBER(VLOOKUP("4.3",A2:N116,4,FALSE)),VLOOKUP("4.3",A2:N116,4,FALSE),0) + IF(ISNUMBER(VLOOKUP("4.4",A2:N116,4,FALSE)),VLOOKUP("4.4",A2:N116,4,FALSE),0)</f>
        <v>0</v>
      </c>
      <c r="E27" s="4">
        <f>IF(ISNUMBER(VLOOKUP("4.1",A2:N116,5,FALSE)),VLOOKUP("4.1",A2:N116,5,FALSE),0) + IF(ISNUMBER(VLOOKUP("4.2",A2:N116,5,FALSE)),VLOOKUP("4.2",A2:N116,5,FALSE),0) + IF(ISNUMBER(VLOOKUP("4.3",A2:N116,5,FALSE)),VLOOKUP("4.3",A2:N116,5,FALSE),0) + IF(ISNUMBER(VLOOKUP("4.4",A2:N116,5,FALSE)),VLOOKUP("4.4",A2:N116,5,FALSE),0)</f>
        <v>0</v>
      </c>
      <c r="F27" s="4">
        <f>IF(ISNUMBER(VLOOKUP("4.1",A2:N116,6,FALSE)),VLOOKUP("4.1",A2:N116,6,FALSE),0) + IF(ISNUMBER(VLOOKUP("4.2",A2:N116,6,FALSE)),VLOOKUP("4.2",A2:N116,6,FALSE),0) + IF(ISNUMBER(VLOOKUP("4.3",A2:N116,6,FALSE)),VLOOKUP("4.3",A2:N116,6,FALSE),0) + IF(ISNUMBER(VLOOKUP("4.4",A2:N116,6,FALSE)),VLOOKUP("4.4",A2:N116,6,FALSE),0)</f>
        <v>0</v>
      </c>
      <c r="G27" s="4">
        <f>IF(ISNUMBER(VLOOKUP("4.1",A2:N116,7,FALSE)),VLOOKUP("4.1",A2:N116,7,FALSE),0) + IF(ISNUMBER(VLOOKUP("4.2",A2:N116,7,FALSE)),VLOOKUP("4.2",A2:N116,7,FALSE),0) + IF(ISNUMBER(VLOOKUP("4.3",A2:N116,7,FALSE)),VLOOKUP("4.3",A2:N116,7,FALSE),0) + IF(ISNUMBER(VLOOKUP("4.4",A2:N116,7,FALSE)),VLOOKUP("4.4",A2:N116,7,FALSE),0)</f>
        <v>5084000</v>
      </c>
      <c r="H27" s="4">
        <f>IF(ISNUMBER(VLOOKUP("4.1",A2:N116,8,FALSE)),VLOOKUP("4.1",A2:N116,8,FALSE),0) + IF(ISNUMBER(VLOOKUP("4.2",A2:N116,8,FALSE)),VLOOKUP("4.2",A2:N116,8,FALSE),0) + IF(ISNUMBER(VLOOKUP("4.3",A2:N116,8,FALSE)),VLOOKUP("4.3",A2:N116,8,FALSE),0) + IF(ISNUMBER(VLOOKUP("4.4",A2:N116,8,FALSE)),VLOOKUP("4.4",A2:N116,8,FALSE),0)</f>
        <v>0</v>
      </c>
      <c r="I27" s="4">
        <f>IF(ISNUMBER(VLOOKUP("4.1",A2:N116,9,FALSE)),VLOOKUP("4.1",A2:N116,9,FALSE),0) + IF(ISNUMBER(VLOOKUP("4.2",A2:N116,9,FALSE)),VLOOKUP("4.2",A2:N116,9,FALSE),0) + IF(ISNUMBER(VLOOKUP("4.3",A2:N116,9,FALSE)),VLOOKUP("4.3",A2:N116,9,FALSE),0) + IF(ISNUMBER(VLOOKUP("4.4",A2:N116,9,FALSE)),VLOOKUP("4.4",A2:N116,9,FALSE),0)</f>
        <v>0</v>
      </c>
      <c r="J27" s="4">
        <f>IF(ISNUMBER(VLOOKUP("4.1",A2:N116,10,FALSE)),VLOOKUP("4.1",A2:N116,10,FALSE),0) + IF(ISNUMBER(VLOOKUP("4.2",A2:N116,10,FALSE)),VLOOKUP("4.2",A2:N116,10,FALSE),0) + IF(ISNUMBER(VLOOKUP("4.3",A2:N116,10,FALSE)),VLOOKUP("4.3",A2:N116,10,FALSE),0) + IF(ISNUMBER(VLOOKUP("4.4",A2:N116,10,FALSE)),VLOOKUP("4.4",A2:N116,10,FALSE),0)</f>
        <v>0</v>
      </c>
      <c r="K27" s="4">
        <f>IF(ISNUMBER(VLOOKUP("4.1",A2:N116,11,FALSE)),VLOOKUP("4.1",A2:N116,11,FALSE),0) + IF(ISNUMBER(VLOOKUP("4.2",A2:N116,11,FALSE)),VLOOKUP("4.2",A2:N116,11,FALSE),0) + IF(ISNUMBER(VLOOKUP("4.3",A2:N116,11,FALSE)),VLOOKUP("4.3",A2:N116,11,FALSE),0) + IF(ISNUMBER(VLOOKUP("4.4",A2:N116,11,FALSE)),VLOOKUP("4.4",A2:N116,11,FALSE),0)</f>
        <v>0</v>
      </c>
      <c r="L27" s="4">
        <f>IF(ISNUMBER(VLOOKUP("4.1",A2:N116,12,FALSE)),VLOOKUP("4.1",A2:N116,12,FALSE),0) + IF(ISNUMBER(VLOOKUP("4.2",A2:N116,12,FALSE)),VLOOKUP("4.2",A2:N116,12,FALSE),0) + IF(ISNUMBER(VLOOKUP("4.3",A2:N116,12,FALSE)),VLOOKUP("4.3",A2:N116,12,FALSE),0) + IF(ISNUMBER(VLOOKUP("4.4",A2:N116,12,FALSE)),VLOOKUP("4.4",A2:N116,12,FALSE),0)</f>
        <v>0</v>
      </c>
      <c r="M27" s="4">
        <f>IF(ISNUMBER(VLOOKUP("4.1",A2:N116,13,FALSE)),VLOOKUP("4.1",A2:N116,13,FALSE),0) + IF(ISNUMBER(VLOOKUP("4.2",A2:N116,13,FALSE)),VLOOKUP("4.2",A2:N116,13,FALSE),0) + IF(ISNUMBER(VLOOKUP("4.3",A2:N116,13,FALSE)),VLOOKUP("4.3",A2:N116,13,FALSE),0) + IF(ISNUMBER(VLOOKUP("4.4",A2:N116,13,FALSE)),VLOOKUP("4.4",A2:N116,13,FALSE),0)</f>
        <v>0</v>
      </c>
      <c r="N27" s="4">
        <f>IF(ISNUMBER(VLOOKUP("4.1",A2:N116,14,FALSE)),VLOOKUP("4.1",A2:N116,14,FALSE),0) + IF(ISNUMBER(VLOOKUP("4.2",A2:N116,14,FALSE)),VLOOKUP("4.2",A2:N116,14,FALSE),0) + IF(ISNUMBER(VLOOKUP("4.3",A2:N116,14,FALSE)),VLOOKUP("4.3",A2:N116,14,FALSE),0) + IF(ISNUMBER(VLOOKUP("4.4",A2:N116,14,FALSE)),VLOOKUP("4.4",A2:N116,14,FALSE),0)</f>
        <v>0</v>
      </c>
    </row>
    <row r="28" spans="1:14" ht="14.25" customHeight="1" x14ac:dyDescent="0.25">
      <c r="A28" s="2" t="s">
        <v>65</v>
      </c>
      <c r="B28" s="3" t="s">
        <v>66</v>
      </c>
      <c r="C28" s="10">
        <v>0</v>
      </c>
      <c r="D28" s="10">
        <v>0</v>
      </c>
      <c r="E28" s="10">
        <v>0</v>
      </c>
      <c r="F28" s="10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</row>
    <row r="29" spans="1:14" ht="14.25" customHeight="1" x14ac:dyDescent="0.25">
      <c r="A29" s="5" t="s">
        <v>67</v>
      </c>
      <c r="B29" s="6" t="s">
        <v>68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</row>
    <row r="30" spans="1:14" ht="27" customHeight="1" x14ac:dyDescent="0.25">
      <c r="A30" s="5" t="s">
        <v>69</v>
      </c>
      <c r="B30" s="6" t="s">
        <v>70</v>
      </c>
      <c r="C30" s="7">
        <v>0</v>
      </c>
      <c r="D30" s="7">
        <v>0</v>
      </c>
      <c r="E30" s="7">
        <v>0</v>
      </c>
      <c r="F30" s="7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4.25" customHeight="1" x14ac:dyDescent="0.25">
      <c r="A31" s="5" t="s">
        <v>71</v>
      </c>
      <c r="B31" s="6" t="s">
        <v>68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</row>
    <row r="32" spans="1:14" ht="14.25" customHeight="1" x14ac:dyDescent="0.25">
      <c r="A32" s="2" t="s">
        <v>72</v>
      </c>
      <c r="B32" s="3" t="s">
        <v>73</v>
      </c>
      <c r="C32" s="4">
        <v>641000</v>
      </c>
      <c r="D32" s="4">
        <v>0</v>
      </c>
      <c r="E32" s="4">
        <v>0</v>
      </c>
      <c r="F32" s="4">
        <v>0</v>
      </c>
      <c r="G32" s="4">
        <v>5084000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4.25" customHeight="1" x14ac:dyDescent="0.25">
      <c r="A33" s="5" t="s">
        <v>74</v>
      </c>
      <c r="B33" s="6" t="s">
        <v>68</v>
      </c>
      <c r="C33" s="9">
        <v>0</v>
      </c>
      <c r="D33" s="9">
        <v>0</v>
      </c>
      <c r="E33" s="9">
        <v>0</v>
      </c>
      <c r="F33" s="9">
        <v>0</v>
      </c>
      <c r="G33" s="9">
        <v>3290217.15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</row>
    <row r="34" spans="1:14" ht="14.25" customHeight="1" x14ac:dyDescent="0.25">
      <c r="A34" s="2" t="s">
        <v>75</v>
      </c>
      <c r="B34" s="3" t="s">
        <v>76</v>
      </c>
      <c r="C34" s="10">
        <v>0</v>
      </c>
      <c r="D34" s="10">
        <v>0</v>
      </c>
      <c r="E34" s="10">
        <v>0</v>
      </c>
      <c r="F34" s="10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</row>
    <row r="35" spans="1:14" ht="14.25" customHeight="1" x14ac:dyDescent="0.25">
      <c r="A35" s="5" t="s">
        <v>77</v>
      </c>
      <c r="B35" s="6" t="s">
        <v>68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</row>
    <row r="36" spans="1:14" ht="14.25" customHeight="1" x14ac:dyDescent="0.25">
      <c r="A36" s="2" t="s">
        <v>78</v>
      </c>
      <c r="B36" s="3" t="s">
        <v>79</v>
      </c>
      <c r="C36" s="4">
        <f>IF(ISNUMBER(VLOOKUP("5.1",A2:N116,3,FALSE)),VLOOKUP("5.1",A2:N116,3,FALSE),0) + IF(ISNUMBER(VLOOKUP("5.2",A2:N116,3,FALSE)),VLOOKUP("5.2",A2:N116,3,FALSE),0)</f>
        <v>1552410</v>
      </c>
      <c r="D36" s="4">
        <f>IF(ISNUMBER(VLOOKUP("5.1",A2:N116,4,FALSE)),VLOOKUP("5.1",A2:N116,4,FALSE),0) + IF(ISNUMBER(VLOOKUP("5.2",A2:N116,4,FALSE)),VLOOKUP("5.2",A2:N116,4,FALSE),0)</f>
        <v>1863172.49</v>
      </c>
      <c r="E36" s="4">
        <f>IF(ISNUMBER(VLOOKUP("5.1",A2:N116,5,FALSE)),VLOOKUP("5.1",A2:N116,5,FALSE),0) + IF(ISNUMBER(VLOOKUP("5.2",A2:N116,5,FALSE)),VLOOKUP("5.2",A2:N116,5,FALSE),0)</f>
        <v>1907677</v>
      </c>
      <c r="F36" s="4">
        <f>IF(ISNUMBER(VLOOKUP("5.1",A2:N116,6,FALSE)),VLOOKUP("5.1",A2:N116,6,FALSE),0) + IF(ISNUMBER(VLOOKUP("5.2",A2:N116,6,FALSE)),VLOOKUP("5.2",A2:N116,6,FALSE),0)</f>
        <v>1847685.6</v>
      </c>
      <c r="G36" s="4">
        <f>IF(ISNUMBER(VLOOKUP("5.1",A2:N116,7,FALSE)),VLOOKUP("5.1",A2:N116,7,FALSE),0) + IF(ISNUMBER(VLOOKUP("5.2",A2:N116,7,FALSE)),VLOOKUP("5.2",A2:N116,7,FALSE),0)</f>
        <v>1793782.85</v>
      </c>
      <c r="H36" s="4">
        <f>IF(ISNUMBER(VLOOKUP("5.1",A2:N116,8,FALSE)),VLOOKUP("5.1",A2:N116,8,FALSE),0) + IF(ISNUMBER(VLOOKUP("5.2",A2:N116,8,FALSE)),VLOOKUP("5.2",A2:N116,8,FALSE),0)</f>
        <v>1888582.99</v>
      </c>
      <c r="I36" s="4">
        <f>IF(ISNUMBER(VLOOKUP("5.1",A2:N116,9,FALSE)),VLOOKUP("5.1",A2:N116,9,FALSE),0) + IF(ISNUMBER(VLOOKUP("5.2",A2:N116,9,FALSE)),VLOOKUP("5.2",A2:N116,9,FALSE),0)</f>
        <v>1810559.07</v>
      </c>
      <c r="J36" s="4">
        <f>IF(ISNUMBER(VLOOKUP("5.1",A2:N116,10,FALSE)),VLOOKUP("5.1",A2:N116,10,FALSE),0) + IF(ISNUMBER(VLOOKUP("5.2",A2:N116,10,FALSE)),VLOOKUP("5.2",A2:N116,10,FALSE),0)</f>
        <v>2017500</v>
      </c>
      <c r="K36" s="4">
        <f>IF(ISNUMBER(VLOOKUP("5.1",A2:N116,11,FALSE)),VLOOKUP("5.1",A2:N116,11,FALSE),0) + IF(ISNUMBER(VLOOKUP("5.2",A2:N116,11,FALSE)),VLOOKUP("5.2",A2:N116,11,FALSE),0)</f>
        <v>2026679</v>
      </c>
      <c r="L36" s="4">
        <f>IF(ISNUMBER(VLOOKUP("5.1",A2:N116,12,FALSE)),VLOOKUP("5.1",A2:N116,12,FALSE),0) + IF(ISNUMBER(VLOOKUP("5.2",A2:N116,12,FALSE)),VLOOKUP("5.2",A2:N116,12,FALSE),0)</f>
        <v>1000000</v>
      </c>
      <c r="M36" s="4">
        <f>IF(ISNUMBER(VLOOKUP("5.1",A2:N116,13,FALSE)),VLOOKUP("5.1",A2:N116,13,FALSE),0) + IF(ISNUMBER(VLOOKUP("5.2",A2:N116,13,FALSE)),VLOOKUP("5.2",A2:N116,13,FALSE),0)</f>
        <v>1000000</v>
      </c>
      <c r="N36" s="4">
        <f>IF(ISNUMBER(VLOOKUP("5.1",A2:N116,14,FALSE)),VLOOKUP("5.1",A2:N116,14,FALSE),0) + IF(ISNUMBER(VLOOKUP("5.2",A2:N116,14,FALSE)),VLOOKUP("5.2",A2:N116,14,FALSE),0)</f>
        <v>1244000</v>
      </c>
    </row>
    <row r="37" spans="1:14" ht="27" customHeight="1" x14ac:dyDescent="0.25">
      <c r="A37" s="2" t="s">
        <v>80</v>
      </c>
      <c r="B37" s="3" t="s">
        <v>81</v>
      </c>
      <c r="C37" s="4">
        <v>1552410</v>
      </c>
      <c r="D37" s="4">
        <v>1863172.49</v>
      </c>
      <c r="E37" s="4">
        <v>1907677</v>
      </c>
      <c r="F37" s="4">
        <v>1847685.6</v>
      </c>
      <c r="G37" s="4">
        <v>1793782.85</v>
      </c>
      <c r="H37" s="4">
        <v>1888582.99</v>
      </c>
      <c r="I37" s="4">
        <v>1810559.07</v>
      </c>
      <c r="J37" s="4">
        <v>2017500</v>
      </c>
      <c r="K37" s="4">
        <v>2026679</v>
      </c>
      <c r="L37" s="4">
        <v>1000000</v>
      </c>
      <c r="M37" s="4">
        <v>1000000</v>
      </c>
      <c r="N37" s="4">
        <v>1244000</v>
      </c>
    </row>
    <row r="38" spans="1:14" ht="39.950000000000003" customHeight="1" x14ac:dyDescent="0.25">
      <c r="A38" s="5" t="s">
        <v>82</v>
      </c>
      <c r="B38" s="6" t="s">
        <v>83</v>
      </c>
      <c r="C38" s="9">
        <f>IF(ISNUMBER(VLOOKUP("5.1.1.1",A2:N116,3,FALSE)),VLOOKUP("5.1.1.1",A2:N116,3,FALSE),0) + IF(ISNUMBER(VLOOKUP("5.1.1.2",A2:N116,3,FALSE)),VLOOKUP("5.1.1.2",A2:N116,3,FALSE),0) + IF(ISNUMBER(VLOOKUP("5.1.1.3",A2:N116,3,FALSE)),VLOOKUP("5.1.1.3",A2:N116,3,FALSE),0)</f>
        <v>275300</v>
      </c>
      <c r="D38" s="9">
        <f>IF(ISNUMBER(VLOOKUP("5.1.1.1",A2:N116,4,FALSE)),VLOOKUP("5.1.1.1",A2:N116,4,FALSE),0) + IF(ISNUMBER(VLOOKUP("5.1.1.2",A2:N116,4,FALSE)),VLOOKUP("5.1.1.2",A2:N116,4,FALSE),0) + IF(ISNUMBER(VLOOKUP("5.1.1.3",A2:N116,4,FALSE)),VLOOKUP("5.1.1.3",A2:N116,4,FALSE),0)</f>
        <v>0</v>
      </c>
      <c r="E38" s="9">
        <f>IF(ISNUMBER(VLOOKUP("5.1.1.1",A2:N116,5,FALSE)),VLOOKUP("5.1.1.1",A2:N116,5,FALSE),0) + IF(ISNUMBER(VLOOKUP("5.1.1.2",A2:N116,5,FALSE)),VLOOKUP("5.1.1.2",A2:N116,5,FALSE),0) + IF(ISNUMBER(VLOOKUP("5.1.1.3",A2:N116,5,FALSE)),VLOOKUP("5.1.1.3",A2:N116,5,FALSE),0)</f>
        <v>0</v>
      </c>
      <c r="F38" s="9">
        <f>IF(ISNUMBER(VLOOKUP("5.1.1.1",A2:N116,6,FALSE)),VLOOKUP("5.1.1.1",A2:N116,6,FALSE),0) + IF(ISNUMBER(VLOOKUP("5.1.1.2",A2:N116,6,FALSE)),VLOOKUP("5.1.1.2",A2:N116,6,FALSE),0) + IF(ISNUMBER(VLOOKUP("5.1.1.3",A2:N116,6,FALSE)),VLOOKUP("5.1.1.3",A2:N116,6,FALSE),0)</f>
        <v>0</v>
      </c>
      <c r="G38" s="9">
        <f>IF(ISNUMBER(VLOOKUP("5.1.1.1",A2:N116,7,FALSE)),VLOOKUP("5.1.1.1",A2:N116,7,FALSE),0) + IF(ISNUMBER(VLOOKUP("5.1.1.2",A2:N116,7,FALSE)),VLOOKUP("5.1.1.2",A2:N116,7,FALSE),0) + IF(ISNUMBER(VLOOKUP("5.1.1.3",A2:N116,7,FALSE)),VLOOKUP("5.1.1.3",A2:N116,7,FALSE),0)</f>
        <v>0</v>
      </c>
      <c r="H38" s="9">
        <f>IF(ISNUMBER(VLOOKUP("5.1.1.1",A2:N116,8,FALSE)),VLOOKUP("5.1.1.1",A2:N116,8,FALSE),0) + IF(ISNUMBER(VLOOKUP("5.1.1.2",A2:N116,8,FALSE)),VLOOKUP("5.1.1.2",A2:N116,8,FALSE),0) + IF(ISNUMBER(VLOOKUP("5.1.1.3",A2:N116,8,FALSE)),VLOOKUP("5.1.1.3",A2:N116,8,FALSE),0)</f>
        <v>0</v>
      </c>
      <c r="I38" s="9">
        <f>IF(ISNUMBER(VLOOKUP("5.1.1.1",A2:N116,9,FALSE)),VLOOKUP("5.1.1.1",A2:N116,9,FALSE),0) + IF(ISNUMBER(VLOOKUP("5.1.1.2",A2:N116,9,FALSE)),VLOOKUP("5.1.1.2",A2:N116,9,FALSE),0) + IF(ISNUMBER(VLOOKUP("5.1.1.3",A2:N116,9,FALSE)),VLOOKUP("5.1.1.3",A2:N116,9,FALSE),0)</f>
        <v>0</v>
      </c>
      <c r="J38" s="9">
        <f>IF(ISNUMBER(VLOOKUP("5.1.1.1",A2:N116,10,FALSE)),VLOOKUP("5.1.1.1",A2:N116,10,FALSE),0) + IF(ISNUMBER(VLOOKUP("5.1.1.2",A2:N116,10,FALSE)),VLOOKUP("5.1.1.2",A2:N116,10,FALSE),0) + IF(ISNUMBER(VLOOKUP("5.1.1.3",A2:N116,10,FALSE)),VLOOKUP("5.1.1.3",A2:N116,10,FALSE),0)</f>
        <v>0</v>
      </c>
      <c r="K38" s="9">
        <f>IF(ISNUMBER(VLOOKUP("5.1.1.1",A2:N116,11,FALSE)),VLOOKUP("5.1.1.1",A2:N116,11,FALSE),0) + IF(ISNUMBER(VLOOKUP("5.1.1.2",A2:N116,11,FALSE)),VLOOKUP("5.1.1.2",A2:N116,11,FALSE),0) + IF(ISNUMBER(VLOOKUP("5.1.1.3",A2:N116,11,FALSE)),VLOOKUP("5.1.1.3",A2:N116,11,FALSE),0)</f>
        <v>0</v>
      </c>
      <c r="L38" s="9">
        <f>IF(ISNUMBER(VLOOKUP("5.1.1.1",A2:N116,12,FALSE)),VLOOKUP("5.1.1.1",A2:N116,12,FALSE),0) + IF(ISNUMBER(VLOOKUP("5.1.1.2",A2:N116,12,FALSE)),VLOOKUP("5.1.1.2",A2:N116,12,FALSE),0) + IF(ISNUMBER(VLOOKUP("5.1.1.3",A2:N116,12,FALSE)),VLOOKUP("5.1.1.3",A2:N116,12,FALSE),0)</f>
        <v>0</v>
      </c>
      <c r="M38" s="9">
        <f>IF(ISNUMBER(VLOOKUP("5.1.1.1",A2:N116,13,FALSE)),VLOOKUP("5.1.1.1",A2:N116,13,FALSE),0) + IF(ISNUMBER(VLOOKUP("5.1.1.2",A2:N116,13,FALSE)),VLOOKUP("5.1.1.2",A2:N116,13,FALSE),0) + IF(ISNUMBER(VLOOKUP("5.1.1.3",A2:N116,13,FALSE)),VLOOKUP("5.1.1.3",A2:N116,13,FALSE),0)</f>
        <v>0</v>
      </c>
      <c r="N38" s="9">
        <f>IF(ISNUMBER(VLOOKUP("5.1.1.1",A2:N116,14,FALSE)),VLOOKUP("5.1.1.1",A2:N116,14,FALSE),0) + IF(ISNUMBER(VLOOKUP("5.1.1.2",A2:N116,14,FALSE)),VLOOKUP("5.1.1.2",A2:N116,14,FALSE),0) + IF(ISNUMBER(VLOOKUP("5.1.1.3",A2:N116,14,FALSE)),VLOOKUP("5.1.1.3",A2:N116,14,FALSE),0)</f>
        <v>0</v>
      </c>
    </row>
    <row r="39" spans="1:14" ht="27" customHeight="1" x14ac:dyDescent="0.25">
      <c r="A39" s="5" t="s">
        <v>84</v>
      </c>
      <c r="B39" s="6" t="s">
        <v>85</v>
      </c>
      <c r="C39" s="9">
        <v>275300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</row>
    <row r="40" spans="1:14" ht="27" customHeight="1" x14ac:dyDescent="0.25">
      <c r="A40" s="5" t="s">
        <v>86</v>
      </c>
      <c r="B40" s="6" t="s">
        <v>87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</row>
    <row r="41" spans="1:14" ht="27" customHeight="1" x14ac:dyDescent="0.25">
      <c r="A41" s="5" t="s">
        <v>88</v>
      </c>
      <c r="B41" s="6" t="s">
        <v>89</v>
      </c>
      <c r="C41" s="7">
        <v>0</v>
      </c>
      <c r="D41" s="7">
        <v>0</v>
      </c>
      <c r="E41" s="7">
        <v>0</v>
      </c>
      <c r="F41" s="7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4.25" customHeight="1" x14ac:dyDescent="0.25">
      <c r="A42" s="2" t="s">
        <v>90</v>
      </c>
      <c r="B42" s="3" t="s">
        <v>91</v>
      </c>
      <c r="C42" s="10">
        <v>0</v>
      </c>
      <c r="D42" s="10">
        <v>0</v>
      </c>
      <c r="E42" s="10">
        <v>0</v>
      </c>
      <c r="F42" s="10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ht="14.25" customHeight="1" x14ac:dyDescent="0.25">
      <c r="A43" s="2" t="s">
        <v>92</v>
      </c>
      <c r="B43" s="3" t="s">
        <v>93</v>
      </c>
      <c r="C43" s="4">
        <v>16592996.17</v>
      </c>
      <c r="D43" s="4">
        <v>14340703.98</v>
      </c>
      <c r="E43" s="4">
        <v>11572219</v>
      </c>
      <c r="F43" s="4">
        <v>12493300.220000001</v>
      </c>
      <c r="G43" s="4">
        <v>13115052.140000001</v>
      </c>
      <c r="H43" s="4">
        <v>10915093.869999999</v>
      </c>
      <c r="I43" s="4">
        <v>8793159.5199999996</v>
      </c>
      <c r="J43" s="4">
        <v>6464284.2400000002</v>
      </c>
      <c r="K43" s="4">
        <v>4126229.96</v>
      </c>
      <c r="L43" s="4">
        <v>2814854.68</v>
      </c>
      <c r="M43" s="4">
        <v>1503479.4</v>
      </c>
      <c r="N43" s="4">
        <v>0</v>
      </c>
    </row>
    <row r="44" spans="1:14" ht="52.9" customHeight="1" x14ac:dyDescent="0.25">
      <c r="A44" s="2" t="s">
        <v>94</v>
      </c>
      <c r="B44" s="3" t="s">
        <v>95</v>
      </c>
      <c r="C44" s="10">
        <v>0</v>
      </c>
      <c r="D44" s="10">
        <v>0</v>
      </c>
      <c r="E44" s="10">
        <v>0</v>
      </c>
      <c r="F44" s="10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</row>
    <row r="45" spans="1:14" ht="27" customHeight="1" x14ac:dyDescent="0.25">
      <c r="A45" s="2" t="s">
        <v>96</v>
      </c>
      <c r="B45" s="3" t="s">
        <v>97</v>
      </c>
      <c r="C45" s="27" t="s">
        <v>49</v>
      </c>
      <c r="D45" s="27" t="s">
        <v>49</v>
      </c>
      <c r="E45" s="27" t="s">
        <v>49</v>
      </c>
      <c r="F45" s="27" t="s">
        <v>49</v>
      </c>
      <c r="G45" s="27" t="s">
        <v>49</v>
      </c>
      <c r="H45" s="27" t="s">
        <v>49</v>
      </c>
      <c r="I45" s="27" t="s">
        <v>49</v>
      </c>
      <c r="J45" s="27" t="s">
        <v>49</v>
      </c>
      <c r="K45" s="27" t="s">
        <v>49</v>
      </c>
      <c r="L45" s="27" t="s">
        <v>49</v>
      </c>
      <c r="M45" s="27" t="s">
        <v>49</v>
      </c>
      <c r="N45" s="27" t="s">
        <v>49</v>
      </c>
    </row>
    <row r="46" spans="1:14" ht="27" customHeight="1" x14ac:dyDescent="0.25">
      <c r="A46" s="5" t="s">
        <v>98</v>
      </c>
      <c r="B46" s="6" t="s">
        <v>99</v>
      </c>
      <c r="C46" s="9">
        <f>IF(ISNUMBER(VLOOKUP("1.1",A2:N116,3,FALSE)),VLOOKUP("1.1",A2:N116,3,FALSE),0) - IF(ISNUMBER(VLOOKUP("2.1",A2:N116,3,FALSE)),VLOOKUP("2.1",A2:N116,3,FALSE),0)</f>
        <v>3154187.3499999978</v>
      </c>
      <c r="D46" s="9">
        <f>IF(ISNUMBER(VLOOKUP("1.1",A2:N116,4,FALSE)),VLOOKUP("1.1",A2:N116,4,FALSE),0) - IF(ISNUMBER(VLOOKUP("2.1",A2:N116,4,FALSE)),VLOOKUP("2.1",A2:N116,4,FALSE),0)</f>
        <v>3371489.2600000016</v>
      </c>
      <c r="E46" s="9">
        <f>IF(ISNUMBER(VLOOKUP("1.1",A2:N116,5,FALSE)),VLOOKUP("1.1",A2:N116,5,FALSE),0) - IF(ISNUMBER(VLOOKUP("2.1",A2:N116,5,FALSE)),VLOOKUP("2.1",A2:N116,5,FALSE),0)</f>
        <v>3047784.9999999963</v>
      </c>
      <c r="F46" s="9">
        <f>IF(ISNUMBER(VLOOKUP("1.1",A2:N116,6,FALSE)),VLOOKUP("1.1",A2:N116,6,FALSE),0) - IF(ISNUMBER(VLOOKUP("2.1",A2:N116,6,FALSE)),VLOOKUP("2.1",A2:N116,6,FALSE),0)</f>
        <v>2891197.0899999961</v>
      </c>
      <c r="G46" s="9">
        <f>IF(ISNUMBER(VLOOKUP("1.1",A2:N116,7,FALSE)),VLOOKUP("1.1",A2:N116,7,FALSE),0) - IF(ISNUMBER(VLOOKUP("2.1",A2:N116,7,FALSE)),VLOOKUP("2.1",A2:N116,7,FALSE),0)</f>
        <v>-1793049.1499999985</v>
      </c>
      <c r="H46" s="9">
        <f>IF(ISNUMBER(VLOOKUP("1.1",A2:N116,8,FALSE)),VLOOKUP("1.1",A2:N116,8,FALSE),0) - IF(ISNUMBER(VLOOKUP("2.1",A2:N116,8,FALSE)),VLOOKUP("2.1",A2:N116,8,FALSE),0)</f>
        <v>3810178</v>
      </c>
      <c r="I46" s="9">
        <f>IF(ISNUMBER(VLOOKUP("1.1",A2:N116,9,FALSE)),VLOOKUP("1.1",A2:N116,9,FALSE),0) - IF(ISNUMBER(VLOOKUP("2.1",A2:N116,9,FALSE)),VLOOKUP("2.1",A2:N116,9,FALSE),0)</f>
        <v>4042637</v>
      </c>
      <c r="J46" s="9">
        <f>IF(ISNUMBER(VLOOKUP("1.1",A2:N116,10,FALSE)),VLOOKUP("1.1",A2:N116,10,FALSE),0) - IF(ISNUMBER(VLOOKUP("2.1",A2:N116,10,FALSE)),VLOOKUP("2.1",A2:N116,10,FALSE),0)</f>
        <v>4160518</v>
      </c>
      <c r="K46" s="9">
        <f>IF(ISNUMBER(VLOOKUP("1.1",A2:N116,11,FALSE)),VLOOKUP("1.1",A2:N116,11,FALSE),0) - IF(ISNUMBER(VLOOKUP("2.1",A2:N116,11,FALSE)),VLOOKUP("2.1",A2:N116,11,FALSE),0)</f>
        <v>4412969</v>
      </c>
      <c r="L46" s="9">
        <f>IF(ISNUMBER(VLOOKUP("1.1",A2:N116,12,FALSE)),VLOOKUP("1.1",A2:N116,12,FALSE),0) - IF(ISNUMBER(VLOOKUP("2.1",A2:N116,12,FALSE)),VLOOKUP("2.1",A2:N116,12,FALSE),0)</f>
        <v>4656939</v>
      </c>
      <c r="M46" s="9">
        <f>IF(ISNUMBER(VLOOKUP("1.1",A2:N116,13,FALSE)),VLOOKUP("1.1",A2:N116,13,FALSE),0) - IF(ISNUMBER(VLOOKUP("2.1",A2:N116,13,FALSE)),VLOOKUP("2.1",A2:N116,13,FALSE),0)</f>
        <v>4437216</v>
      </c>
      <c r="N46" s="9">
        <f>IF(ISNUMBER(VLOOKUP("1.1",A2:N116,14,FALSE)),VLOOKUP("1.1",A2:N116,14,FALSE),0) - IF(ISNUMBER(VLOOKUP("2.1",A2:N116,14,FALSE)),VLOOKUP("2.1",A2:N116,14,FALSE),0)</f>
        <v>4404706</v>
      </c>
    </row>
    <row r="47" spans="1:14" ht="27" customHeight="1" x14ac:dyDescent="0.25">
      <c r="A47" s="5" t="s">
        <v>100</v>
      </c>
      <c r="B47" s="6" t="s">
        <v>101</v>
      </c>
      <c r="C47" s="9">
        <f>IF(ISNUMBER(VLOOKUP("1.1",A2:N116,3,FALSE)),VLOOKUP("1.1",A2:N116,3,FALSE),0) + IF(ISNUMBER(VLOOKUP("4.1",A2:N116,3,FALSE)),VLOOKUP("4.1",A2:N116,3,FALSE),0) + IF(ISNUMBER(VLOOKUP("4.2",A2:N116,3,FALSE)),VLOOKUP("4.2",A2:N116,3,FALSE),0) - IF(ISNUMBER(VLOOKUP("2.1",A2:N116,3,FALSE)),VLOOKUP("2.1",A2:N116,3,FALSE),0) + IF(ISNUMBER(VLOOKUP("2.1.2",A2:N116,3,FALSE)),VLOOKUP("2.1.2",A2:N116,3,FALSE),0)</f>
        <v>3154187.3499999978</v>
      </c>
      <c r="D47" s="9">
        <f>IF(ISNUMBER(VLOOKUP("1.1",A2:N116,4,FALSE)),VLOOKUP("1.1",A2:N116,4,FALSE),0) + IF(ISNUMBER(VLOOKUP("4.1",A2:N116,4,FALSE)),VLOOKUP("4.1",A2:N116,4,FALSE),0) + IF(ISNUMBER(VLOOKUP("4.2",A2:N116,4,FALSE)),VLOOKUP("4.2",A2:N116,4,FALSE),0) - IF(ISNUMBER(VLOOKUP("2.1",A2:N116,4,FALSE)),VLOOKUP("2.1",A2:N116,4,FALSE),0) + IF(ISNUMBER(VLOOKUP("2.1.2",A2:N116,4,FALSE)),VLOOKUP("2.1.2",A2:N116,4,FALSE),0)</f>
        <v>3371489.2600000016</v>
      </c>
      <c r="E47" s="9">
        <f>IF(ISNUMBER(VLOOKUP("1.1",A2:N116,5,FALSE)),VLOOKUP("1.1",A2:N116,5,FALSE),0) + IF(ISNUMBER(VLOOKUP("4.1",A2:N116,5,FALSE)),VLOOKUP("4.1",A2:N116,5,FALSE),0) + IF(ISNUMBER(VLOOKUP("4.2",A2:N116,5,FALSE)),VLOOKUP("4.2",A2:N116,5,FALSE),0) - IF(ISNUMBER(VLOOKUP("2.1",A2:N116,5,FALSE)),VLOOKUP("2.1",A2:N116,5,FALSE),0) + IF(ISNUMBER(VLOOKUP("2.1.2",A2:N116,5,FALSE)),VLOOKUP("2.1.2",A2:N116,5,FALSE),0)</f>
        <v>3047784.9999999963</v>
      </c>
      <c r="F47" s="9">
        <f>IF(ISNUMBER(VLOOKUP("1.1",A2:N116,6,FALSE)),VLOOKUP("1.1",A2:N116,6,FALSE),0) + IF(ISNUMBER(VLOOKUP("4.1",A2:N116,6,FALSE)),VLOOKUP("4.1",A2:N116,6,FALSE),0) + IF(ISNUMBER(VLOOKUP("4.2",A2:N116,6,FALSE)),VLOOKUP("4.2",A2:N116,6,FALSE),0) - IF(ISNUMBER(VLOOKUP("2.1",A2:N116,6,FALSE)),VLOOKUP("2.1",A2:N116,6,FALSE),0) + IF(ISNUMBER(VLOOKUP("2.1.2",A2:N116,6,FALSE)),VLOOKUP("2.1.2",A2:N116,6,FALSE),0)</f>
        <v>2891197.0899999961</v>
      </c>
      <c r="G47" s="9">
        <f>IF(ISNUMBER(VLOOKUP("1.1",A2:N116,7,FALSE)),VLOOKUP("1.1",A2:N116,7,FALSE),0) + IF(ISNUMBER(VLOOKUP("4.1",A2:N116,7,FALSE)),VLOOKUP("4.1",A2:N116,7,FALSE),0) + IF(ISNUMBER(VLOOKUP("4.2",A2:N116,7,FALSE)),VLOOKUP("4.2",A2:N116,7,FALSE),0) - IF(ISNUMBER(VLOOKUP("2.1",A2:N116,7,FALSE)),VLOOKUP("2.1",A2:N116,7,FALSE),0) + IF(ISNUMBER(VLOOKUP("2.1.2",A2:N116,7,FALSE)),VLOOKUP("2.1.2",A2:N116,7,FALSE),0)</f>
        <v>-1793049.1499999985</v>
      </c>
      <c r="H47" s="9">
        <f>IF(ISNUMBER(VLOOKUP("1.1",A2:N116,8,FALSE)),VLOOKUP("1.1",A2:N116,8,FALSE),0) + IF(ISNUMBER(VLOOKUP("4.1",A2:N116,8,FALSE)),VLOOKUP("4.1",A2:N116,8,FALSE),0) + IF(ISNUMBER(VLOOKUP("4.2",A2:N116,8,FALSE)),VLOOKUP("4.2",A2:N116,8,FALSE),0) - IF(ISNUMBER(VLOOKUP("2.1",A2:N116,8,FALSE)),VLOOKUP("2.1",A2:N116,8,FALSE),0) + IF(ISNUMBER(VLOOKUP("2.1.2",A2:N116,8,FALSE)),VLOOKUP("2.1.2",A2:N116,8,FALSE),0)</f>
        <v>3810178</v>
      </c>
      <c r="I47" s="9">
        <f>IF(ISNUMBER(VLOOKUP("1.1",A2:N116,9,FALSE)),VLOOKUP("1.1",A2:N116,9,FALSE),0) + IF(ISNUMBER(VLOOKUP("4.1",A2:N116,9,FALSE)),VLOOKUP("4.1",A2:N116,9,FALSE),0) + IF(ISNUMBER(VLOOKUP("4.2",A2:N116,9,FALSE)),VLOOKUP("4.2",A2:N116,9,FALSE),0) - IF(ISNUMBER(VLOOKUP("2.1",A2:N116,9,FALSE)),VLOOKUP("2.1",A2:N116,9,FALSE),0) + IF(ISNUMBER(VLOOKUP("2.1.2",A2:N116,9,FALSE)),VLOOKUP("2.1.2",A2:N116,9,FALSE),0)</f>
        <v>4042637</v>
      </c>
      <c r="J47" s="9">
        <f>IF(ISNUMBER(VLOOKUP("1.1",A2:N116,10,FALSE)),VLOOKUP("1.1",A2:N116,10,FALSE),0) + IF(ISNUMBER(VLOOKUP("4.1",A2:N116,10,FALSE)),VLOOKUP("4.1",A2:N116,10,FALSE),0) + IF(ISNUMBER(VLOOKUP("4.2",A2:N116,10,FALSE)),VLOOKUP("4.2",A2:N116,10,FALSE),0) - IF(ISNUMBER(VLOOKUP("2.1",A2:N116,10,FALSE)),VLOOKUP("2.1",A2:N116,10,FALSE),0) + IF(ISNUMBER(VLOOKUP("2.1.2",A2:N116,10,FALSE)),VLOOKUP("2.1.2",A2:N116,10,FALSE),0)</f>
        <v>4160518</v>
      </c>
      <c r="K47" s="9">
        <f>IF(ISNUMBER(VLOOKUP("1.1",A2:N116,11,FALSE)),VLOOKUP("1.1",A2:N116,11,FALSE),0) + IF(ISNUMBER(VLOOKUP("4.1",A2:N116,11,FALSE)),VLOOKUP("4.1",A2:N116,11,FALSE),0) + IF(ISNUMBER(VLOOKUP("4.2",A2:N116,11,FALSE)),VLOOKUP("4.2",A2:N116,11,FALSE),0) - IF(ISNUMBER(VLOOKUP("2.1",A2:N116,11,FALSE)),VLOOKUP("2.1",A2:N116,11,FALSE),0) + IF(ISNUMBER(VLOOKUP("2.1.2",A2:N116,11,FALSE)),VLOOKUP("2.1.2",A2:N116,11,FALSE),0)</f>
        <v>4412969</v>
      </c>
      <c r="L47" s="9">
        <f>IF(ISNUMBER(VLOOKUP("1.1",A2:N116,12,FALSE)),VLOOKUP("1.1",A2:N116,12,FALSE),0) + IF(ISNUMBER(VLOOKUP("4.1",A2:N116,12,FALSE)),VLOOKUP("4.1",A2:N116,12,FALSE),0) + IF(ISNUMBER(VLOOKUP("4.2",A2:N116,12,FALSE)),VLOOKUP("4.2",A2:N116,12,FALSE),0) - IF(ISNUMBER(VLOOKUP("2.1",A2:N116,12,FALSE)),VLOOKUP("2.1",A2:N116,12,FALSE),0) + IF(ISNUMBER(VLOOKUP("2.1.2",A2:N116,12,FALSE)),VLOOKUP("2.1.2",A2:N116,12,FALSE),0)</f>
        <v>4656939</v>
      </c>
      <c r="M47" s="9">
        <f>IF(ISNUMBER(VLOOKUP("1.1",A2:N116,13,FALSE)),VLOOKUP("1.1",A2:N116,13,FALSE),0) + IF(ISNUMBER(VLOOKUP("4.1",A2:N116,13,FALSE)),VLOOKUP("4.1",A2:N116,13,FALSE),0) + IF(ISNUMBER(VLOOKUP("4.2",A2:N116,13,FALSE)),VLOOKUP("4.2",A2:N116,13,FALSE),0) - IF(ISNUMBER(VLOOKUP("2.1",A2:N116,13,FALSE)),VLOOKUP("2.1",A2:N116,13,FALSE),0) + IF(ISNUMBER(VLOOKUP("2.1.2",A2:N116,13,FALSE)),VLOOKUP("2.1.2",A2:N116,13,FALSE),0)</f>
        <v>4437216</v>
      </c>
      <c r="N47" s="9">
        <f>IF(ISNUMBER(VLOOKUP("1.1",A2:N116,14,FALSE)),VLOOKUP("1.1",A2:N116,14,FALSE),0) + IF(ISNUMBER(VLOOKUP("4.1",A2:N116,14,FALSE)),VLOOKUP("4.1",A2:N116,14,FALSE),0) + IF(ISNUMBER(VLOOKUP("4.2",A2:N116,14,FALSE)),VLOOKUP("4.2",A2:N116,14,FALSE),0) - IF(ISNUMBER(VLOOKUP("2.1",A2:N116,14,FALSE)),VLOOKUP("2.1",A2:N116,14,FALSE),0) + IF(ISNUMBER(VLOOKUP("2.1.2",A2:N116,14,FALSE)),VLOOKUP("2.1.2",A2:N116,14,FALSE),0)</f>
        <v>4404706</v>
      </c>
    </row>
    <row r="48" spans="1:14" ht="14.25" customHeight="1" x14ac:dyDescent="0.25">
      <c r="A48" s="2" t="s">
        <v>102</v>
      </c>
      <c r="B48" s="3" t="s">
        <v>103</v>
      </c>
      <c r="C48" s="27" t="s">
        <v>49</v>
      </c>
      <c r="D48" s="27" t="s">
        <v>49</v>
      </c>
      <c r="E48" s="27" t="s">
        <v>49</v>
      </c>
      <c r="F48" s="27" t="s">
        <v>49</v>
      </c>
      <c r="G48" s="27" t="s">
        <v>49</v>
      </c>
      <c r="H48" s="27" t="s">
        <v>49</v>
      </c>
      <c r="I48" s="27" t="s">
        <v>49</v>
      </c>
      <c r="J48" s="27" t="s">
        <v>49</v>
      </c>
      <c r="K48" s="27" t="s">
        <v>49</v>
      </c>
      <c r="L48" s="27" t="s">
        <v>49</v>
      </c>
      <c r="M48" s="27" t="s">
        <v>49</v>
      </c>
      <c r="N48" s="27" t="s">
        <v>49</v>
      </c>
    </row>
    <row r="49" spans="1:14" ht="65.650000000000006" customHeight="1" x14ac:dyDescent="0.25">
      <c r="A49" s="12" t="s">
        <v>104</v>
      </c>
      <c r="B49" s="13" t="s">
        <v>105</v>
      </c>
      <c r="C49" s="14">
        <f>(IF(ISNUMBER(VLOOKUP("2.1.1",A2:N116,3,FALSE)),VLOOKUP("2.1.1",A2:N116,3,FALSE),0) + IF(ISNUMBER(VLOOKUP("2.1.3.1",A2:N116,3,FALSE)),VLOOKUP("2.1.3.1",A2:N116,3,FALSE),0) + IF(ISNUMBER(VLOOKUP("5.1",A2:N116,3,FALSE)),VLOOKUP("5.1",A2:N116,3,FALSE),0)) / IF(ISNUMBER(VLOOKUP("1",A2:N116,3,FALSE)),VLOOKUP("1",A2:N116,3,FALSE),0)</f>
        <v>7.7128238422091058E-2</v>
      </c>
      <c r="D49" s="14">
        <f>(IF(ISNUMBER(VLOOKUP("2.1.1",A2:N116,4,FALSE)),VLOOKUP("2.1.1",A2:N116,4,FALSE),0) + IF(ISNUMBER(VLOOKUP("2.1.3.1",A2:N116,4,FALSE)),VLOOKUP("2.1.3.1",A2:N116,4,FALSE),0) + IF(ISNUMBER(VLOOKUP("5.1",A2:N116,4,FALSE)),VLOOKUP("5.1",A2:N116,4,FALSE),0)) / IF(ISNUMBER(VLOOKUP("1",A2:N116,4,FALSE)),VLOOKUP("1",A2:N116,4,FALSE),0)</f>
        <v>7.3313225567154999E-2</v>
      </c>
      <c r="E49" s="14">
        <f>(IF(ISNUMBER(VLOOKUP("2.1.1",A2:N116,5,FALSE)),VLOOKUP("2.1.1",A2:N116,5,FALSE),0) + IF(ISNUMBER(VLOOKUP("2.1.3.1",A2:N116,5,FALSE)),VLOOKUP("2.1.3.1",A2:N116,5,FALSE),0) + IF(ISNUMBER(VLOOKUP("5.1",A2:N116,5,FALSE)),VLOOKUP("5.1",A2:N116,5,FALSE),0)) / IF(ISNUMBER(VLOOKUP("1",A2:N116,5,FALSE)),VLOOKUP("1",A2:N116,5,FALSE),0)</f>
        <v>7.049939569864605E-2</v>
      </c>
      <c r="F49" s="14">
        <f>(IF(ISNUMBER(VLOOKUP("2.1.1",A2:N116,6,FALSE)),VLOOKUP("2.1.1",A2:N116,6,FALSE),0) + IF(ISNUMBER(VLOOKUP("2.1.3.1",A2:N116,6,FALSE)),VLOOKUP("2.1.3.1",A2:N116,6,FALSE),0) + IF(ISNUMBER(VLOOKUP("5.1",A2:N116,6,FALSE)),VLOOKUP("5.1",A2:N116,6,FALSE),0)) / IF(ISNUMBER(VLOOKUP("1",A2:N116,6,FALSE)),VLOOKUP("1",A2:N116,6,FALSE),0)</f>
        <v>6.9064726150870628E-2</v>
      </c>
      <c r="G49" s="14">
        <f>(IF(ISNUMBER(VLOOKUP("2.1.1",A2:N116,7,FALSE)),VLOOKUP("2.1.1",A2:N116,7,FALSE),0) + IF(ISNUMBER(VLOOKUP("2.1.3.1",A2:N116,7,FALSE)),VLOOKUP("2.1.3.1",A2:N116,7,FALSE),0) + IF(ISNUMBER(VLOOKUP("5.1",A2:N116,7,FALSE)),VLOOKUP("5.1",A2:N116,7,FALSE),0)) / IF(ISNUMBER(VLOOKUP("1",A2:N116,7,FALSE)),VLOOKUP("1",A2:N116,7,FALSE),0)</f>
        <v>5.9236574310548115E-2</v>
      </c>
      <c r="H49" s="14">
        <f>(IF(ISNUMBER(VLOOKUP("2.1.1",A2:N116,8,FALSE)),VLOOKUP("2.1.1",A2:N116,8,FALSE),0) + IF(ISNUMBER(VLOOKUP("2.1.3.1",A2:N116,8,FALSE)),VLOOKUP("2.1.3.1",A2:N116,8,FALSE),0) + IF(ISNUMBER(VLOOKUP("5.1",A2:N116,8,FALSE)),VLOOKUP("5.1",A2:N116,8,FALSE),0)) / IF(ISNUMBER(VLOOKUP("1",A2:N116,8,FALSE)),VLOOKUP("1",A2:N116,8,FALSE),0)</f>
        <v>6.293654896730376E-2</v>
      </c>
      <c r="I49" s="14">
        <f>(IF(ISNUMBER(VLOOKUP("2.1.1",A2:N116,9,FALSE)),VLOOKUP("2.1.1",A2:N116,9,FALSE),0) + IF(ISNUMBER(VLOOKUP("2.1.3.1",A2:N116,9,FALSE)),VLOOKUP("2.1.3.1",A2:N116,9,FALSE),0) + IF(ISNUMBER(VLOOKUP("5.1",A2:N116,9,FALSE)),VLOOKUP("5.1",A2:N116,9,FALSE),0)) / IF(ISNUMBER(VLOOKUP("1",A2:N116,9,FALSE)),VLOOKUP("1",A2:N116,9,FALSE),0)</f>
        <v>5.793214086136976E-2</v>
      </c>
      <c r="J49" s="14">
        <f>(IF(ISNUMBER(VLOOKUP("2.1.1",A2:N116,10,FALSE)),VLOOKUP("2.1.1",A2:N116,10,FALSE),0) + IF(ISNUMBER(VLOOKUP("2.1.3.1",A2:N116,10,FALSE)),VLOOKUP("2.1.3.1",A2:N116,10,FALSE),0) + IF(ISNUMBER(VLOOKUP("5.1",A2:N116,10,FALSE)),VLOOKUP("5.1",A2:N116,10,FALSE),0)) / IF(ISNUMBER(VLOOKUP("1",A2:N116,10,FALSE)),VLOOKUP("1",A2:N116,10,FALSE),0)</f>
        <v>6.0716242902990186E-2</v>
      </c>
      <c r="K49" s="14">
        <f>(IF(ISNUMBER(VLOOKUP("2.1.1",A2:N116,11,FALSE)),VLOOKUP("2.1.1",A2:N116,11,FALSE),0) + IF(ISNUMBER(VLOOKUP("2.1.3.1",A2:N116,11,FALSE)),VLOOKUP("2.1.3.1",A2:N116,11,FALSE),0) + IF(ISNUMBER(VLOOKUP("5.1",A2:N116,11,FALSE)),VLOOKUP("5.1",A2:N116,11,FALSE),0)) / IF(ISNUMBER(VLOOKUP("1",A2:N116,11,FALSE)),VLOOKUP("1",A2:N116,11,FALSE),0)</f>
        <v>5.7878964982216001E-2</v>
      </c>
      <c r="L49" s="14">
        <f>(IF(ISNUMBER(VLOOKUP("2.1.1",A2:N116,12,FALSE)),VLOOKUP("2.1.1",A2:N116,12,FALSE),0) + IF(ISNUMBER(VLOOKUP("2.1.3.1",A2:N116,12,FALSE)),VLOOKUP("2.1.3.1",A2:N116,12,FALSE),0) + IF(ISNUMBER(VLOOKUP("5.1",A2:N116,12,FALSE)),VLOOKUP("5.1",A2:N116,12,FALSE),0)) / IF(ISNUMBER(VLOOKUP("1",A2:N116,12,FALSE)),VLOOKUP("1",A2:N116,12,FALSE),0)</f>
        <v>2.8968886117944941E-2</v>
      </c>
      <c r="M49" s="14">
        <f>(IF(ISNUMBER(VLOOKUP("2.1.1",A2:N116,13,FALSE)),VLOOKUP("2.1.1",A2:N116,13,FALSE),0) + IF(ISNUMBER(VLOOKUP("2.1.3.1",A2:N116,13,FALSE)),VLOOKUP("2.1.3.1",A2:N116,13,FALSE),0) + IF(ISNUMBER(VLOOKUP("5.1",A2:N116,13,FALSE)),VLOOKUP("5.1",A2:N116,13,FALSE),0)) / IF(ISNUMBER(VLOOKUP("1",A2:N116,13,FALSE)),VLOOKUP("1",A2:N116,13,FALSE),0)</f>
        <v>2.7469560980247738E-2</v>
      </c>
      <c r="N49" s="14">
        <f>(IF(ISNUMBER(VLOOKUP("2.1.1",A2:N116,14,FALSE)),VLOOKUP("2.1.1",A2:N116,14,FALSE),0) + IF(ISNUMBER(VLOOKUP("2.1.3.1",A2:N116,14,FALSE)),VLOOKUP("2.1.3.1",A2:N116,14,FALSE),0) + IF(ISNUMBER(VLOOKUP("5.1",A2:N116,14,FALSE)),VLOOKUP("5.1",A2:N116,14,FALSE),0)) / IF(ISNUMBER(VLOOKUP("1",A2:N116,14,FALSE)),VLOOKUP("1",A2:N116,14,FALSE),0)</f>
        <v>3.1821129552487983E-2</v>
      </c>
    </row>
    <row r="50" spans="1:14" ht="65.650000000000006" customHeight="1" x14ac:dyDescent="0.25">
      <c r="A50" s="12" t="s">
        <v>106</v>
      </c>
      <c r="B50" s="13" t="s">
        <v>107</v>
      </c>
      <c r="C50" s="14">
        <f>(IF(ISNUMBER(VLOOKUP("2.1.1",A2:N116,3,FALSE)),VLOOKUP("2.1.1",A2:N116,3,FALSE),0) - IF(ISNUMBER(VLOOKUP("2.1.1.1",A2:N116,3,FALSE)),VLOOKUP("2.1.1.1",A2:N116,3,FALSE),0) + IF(ISNUMBER(VLOOKUP("2.1.3.1",A2:N116,3,FALSE)),VLOOKUP("2.1.3.1",A2:N116,3,FALSE),0) - IF(ISNUMBER(VLOOKUP("2.1.3.1.1",A2:N116,3,FALSE)),VLOOKUP("2.1.3.1.1",A2:N116,3,FALSE),0) - IF(ISNUMBER(VLOOKUP("2.1.3.1.2",A2:N116,3,FALSE)),VLOOKUP("2.1.3.1.2",A2:N116,3,FALSE),0) + IF(ISNUMBER(VLOOKUP("5.1",A2:N116,3,FALSE)),VLOOKUP("5.1",A2:N116,3,FALSE),0) - IF(ISNUMBER(VLOOKUP("5.1.1",A2:N116,3,FALSE)),VLOOKUP("5.1.1",A2:N116,3,FALSE),0)) / (IF(ISNUMBER(VLOOKUP("1",A2:N116,3,FALSE)),VLOOKUP("1",A2:N116,3,FALSE),0) - IF(ISNA(VLOOKUP("15.1.1",A2:N116,3,FALSE)),0,VLOOKUP("15.1.1",A2:N116,3,FALSE)))</f>
        <v>6.7443278018881045E-2</v>
      </c>
      <c r="D50" s="14">
        <f>(IF(ISNUMBER(VLOOKUP("2.1.1",A2:N116,4,FALSE)),VLOOKUP("2.1.1",A2:N116,4,FALSE),0) - IF(ISNUMBER(VLOOKUP("2.1.1.1",A2:N116,4,FALSE)),VLOOKUP("2.1.1.1",A2:N116,4,FALSE),0) + IF(ISNUMBER(VLOOKUP("2.1.3.1",A2:N116,4,FALSE)),VLOOKUP("2.1.3.1",A2:N116,4,FALSE),0) - IF(ISNUMBER(VLOOKUP("2.1.3.1.1",A2:N116,4,FALSE)),VLOOKUP("2.1.3.1.1",A2:N116,4,FALSE),0) - IF(ISNUMBER(VLOOKUP("2.1.3.1.2",A2:N116,4,FALSE)),VLOOKUP("2.1.3.1.2",A2:N116,4,FALSE),0) + IF(ISNUMBER(VLOOKUP("5.1",A2:N116,4,FALSE)),VLOOKUP("5.1",A2:N116,4,FALSE),0) - IF(ISNUMBER(VLOOKUP("5.1.1",A2:N116,4,FALSE)),VLOOKUP("5.1.1",A2:N116,4,FALSE),0)) / (IF(ISNUMBER(VLOOKUP("1",A2:N116,4,FALSE)),VLOOKUP("1",A2:N116,4,FALSE),0) - IF(ISNA(VLOOKUP("15.1.1",A2:N116,4,FALSE)),0,VLOOKUP("15.1.1",A2:N116,4,FALSE)))</f>
        <v>7.3313225567154999E-2</v>
      </c>
      <c r="E50" s="14">
        <f>(IF(ISNUMBER(VLOOKUP("2.1.1",A2:N116,5,FALSE)),VLOOKUP("2.1.1",A2:N116,5,FALSE),0) - IF(ISNUMBER(VLOOKUP("2.1.1.1",A2:N116,5,FALSE)),VLOOKUP("2.1.1.1",A2:N116,5,FALSE),0) + IF(ISNUMBER(VLOOKUP("2.1.3.1",A2:N116,5,FALSE)),VLOOKUP("2.1.3.1",A2:N116,5,FALSE),0) - IF(ISNUMBER(VLOOKUP("2.1.3.1.1",A2:N116,5,FALSE)),VLOOKUP("2.1.3.1.1",A2:N116,5,FALSE),0) - IF(ISNUMBER(VLOOKUP("2.1.3.1.2",A2:N116,5,FALSE)),VLOOKUP("2.1.3.1.2",A2:N116,5,FALSE),0) + IF(ISNUMBER(VLOOKUP("5.1",A2:N116,5,FALSE)),VLOOKUP("5.1",A2:N116,5,FALSE),0) - IF(ISNUMBER(VLOOKUP("5.1.1",A2:N116,5,FALSE)),VLOOKUP("5.1.1",A2:N116,5,FALSE),0)) / (IF(ISNUMBER(VLOOKUP("1",A2:N116,5,FALSE)),VLOOKUP("1",A2:N116,5,FALSE),0) - IF(ISNA(VLOOKUP("15.1.1",A2:N116,5,FALSE)),0,VLOOKUP("15.1.1",A2:N116,5,FALSE)))</f>
        <v>7.049939569864605E-2</v>
      </c>
      <c r="F50" s="14">
        <f>(IF(ISNUMBER(VLOOKUP("2.1.1",A2:N116,6,FALSE)),VLOOKUP("2.1.1",A2:N116,6,FALSE),0) - IF(ISNUMBER(VLOOKUP("2.1.1.1",A2:N116,6,FALSE)),VLOOKUP("2.1.1.1",A2:N116,6,FALSE),0) + IF(ISNUMBER(VLOOKUP("2.1.3.1",A2:N116,6,FALSE)),VLOOKUP("2.1.3.1",A2:N116,6,FALSE),0) - IF(ISNUMBER(VLOOKUP("2.1.3.1.1",A2:N116,6,FALSE)),VLOOKUP("2.1.3.1.1",A2:N116,6,FALSE),0) - IF(ISNUMBER(VLOOKUP("2.1.3.1.2",A2:N116,6,FALSE)),VLOOKUP("2.1.3.1.2",A2:N116,6,FALSE),0) + IF(ISNUMBER(VLOOKUP("5.1",A2:N116,6,FALSE)),VLOOKUP("5.1",A2:N116,6,FALSE),0) - IF(ISNUMBER(VLOOKUP("5.1.1",A2:N116,6,FALSE)),VLOOKUP("5.1.1",A2:N116,6,FALSE),0)) / (IF(ISNUMBER(VLOOKUP("1",A2:N116,6,FALSE)),VLOOKUP("1",A2:N116,6,FALSE),0) - IF(ISNA(VLOOKUP("15.1.1",A2:N116,6,FALSE)),0,VLOOKUP("15.1.1",A2:N116,6,FALSE)))</f>
        <v>6.9064726150870628E-2</v>
      </c>
      <c r="G50" s="14">
        <f>(IF(ISNUMBER(VLOOKUP("2.1.1",A2:N116,7,FALSE)),VLOOKUP("2.1.1",A2:N116,7,FALSE),0) - IF(ISNUMBER(VLOOKUP("2.1.1.1",A2:N116,7,FALSE)),VLOOKUP("2.1.1.1",A2:N116,7,FALSE),0) + IF(ISNUMBER(VLOOKUP("2.1.3.1",A2:N116,7,FALSE)),VLOOKUP("2.1.3.1",A2:N116,7,FALSE),0) - IF(ISNUMBER(VLOOKUP("2.1.3.1.1",A2:N116,7,FALSE)),VLOOKUP("2.1.3.1.1",A2:N116,7,FALSE),0) - IF(ISNUMBER(VLOOKUP("2.1.3.1.2",A2:N116,7,FALSE)),VLOOKUP("2.1.3.1.2",A2:N116,7,FALSE),0) + IF(ISNUMBER(VLOOKUP("5.1",A2:N116,7,FALSE)),VLOOKUP("5.1",A2:N116,7,FALSE),0) - IF(ISNUMBER(VLOOKUP("5.1.1",A2:N116,7,FALSE)),VLOOKUP("5.1.1",A2:N116,7,FALSE),0)) / (IF(ISNUMBER(VLOOKUP("1",A2:N116,7,FALSE)),VLOOKUP("1",A2:N116,7,FALSE),0) - IF(ISNA(VLOOKUP("15.1.1",A2:N116,7,FALSE)),0,VLOOKUP("15.1.1",A2:N116,7,FALSE)))</f>
        <v>5.9236574310548115E-2</v>
      </c>
      <c r="H50" s="14">
        <f>(IF(ISNUMBER(VLOOKUP("2.1.1",A2:N116,8,FALSE)),VLOOKUP("2.1.1",A2:N116,8,FALSE),0) - IF(ISNUMBER(VLOOKUP("2.1.1.1",A2:N116,8,FALSE)),VLOOKUP("2.1.1.1",A2:N116,8,FALSE),0) + IF(ISNUMBER(VLOOKUP("2.1.3.1",A2:N116,8,FALSE)),VLOOKUP("2.1.3.1",A2:N116,8,FALSE),0) - IF(ISNUMBER(VLOOKUP("2.1.3.1.1",A2:N116,8,FALSE)),VLOOKUP("2.1.3.1.1",A2:N116,8,FALSE),0) - IF(ISNUMBER(VLOOKUP("2.1.3.1.2",A2:N116,8,FALSE)),VLOOKUP("2.1.3.1.2",A2:N116,8,FALSE),0) + IF(ISNUMBER(VLOOKUP("5.1",A2:N116,8,FALSE)),VLOOKUP("5.1",A2:N116,8,FALSE),0) - IF(ISNUMBER(VLOOKUP("5.1.1",A2:N116,8,FALSE)),VLOOKUP("5.1.1",A2:N116,8,FALSE),0)) / (IF(ISNUMBER(VLOOKUP("1",A2:N116,8,FALSE)),VLOOKUP("1",A2:N116,8,FALSE),0) - IF(ISNA(VLOOKUP("15.1.1",A2:N116,8,FALSE)),0,VLOOKUP("15.1.1",A2:N116,8,FALSE)))</f>
        <v>6.293654896730376E-2</v>
      </c>
      <c r="I50" s="14">
        <f>(IF(ISNUMBER(VLOOKUP("2.1.1",A2:N116,9,FALSE)),VLOOKUP("2.1.1",A2:N116,9,FALSE),0) - IF(ISNUMBER(VLOOKUP("2.1.1.1",A2:N116,9,FALSE)),VLOOKUP("2.1.1.1",A2:N116,9,FALSE),0) + IF(ISNUMBER(VLOOKUP("2.1.3.1",A2:N116,9,FALSE)),VLOOKUP("2.1.3.1",A2:N116,9,FALSE),0) - IF(ISNUMBER(VLOOKUP("2.1.3.1.1",A2:N116,9,FALSE)),VLOOKUP("2.1.3.1.1",A2:N116,9,FALSE),0) - IF(ISNUMBER(VLOOKUP("2.1.3.1.2",A2:N116,9,FALSE)),VLOOKUP("2.1.3.1.2",A2:N116,9,FALSE),0) + IF(ISNUMBER(VLOOKUP("5.1",A2:N116,9,FALSE)),VLOOKUP("5.1",A2:N116,9,FALSE),0) - IF(ISNUMBER(VLOOKUP("5.1.1",A2:N116,9,FALSE)),VLOOKUP("5.1.1",A2:N116,9,FALSE),0)) / (IF(ISNUMBER(VLOOKUP("1",A2:N116,9,FALSE)),VLOOKUP("1",A2:N116,9,FALSE),0) - IF(ISNA(VLOOKUP("15.1.1",A2:N116,9,FALSE)),0,VLOOKUP("15.1.1",A2:N116,9,FALSE)))</f>
        <v>5.793214086136976E-2</v>
      </c>
      <c r="J50" s="14">
        <f>(IF(ISNUMBER(VLOOKUP("2.1.1",A2:N116,10,FALSE)),VLOOKUP("2.1.1",A2:N116,10,FALSE),0) - IF(ISNUMBER(VLOOKUP("2.1.1.1",A2:N116,10,FALSE)),VLOOKUP("2.1.1.1",A2:N116,10,FALSE),0) + IF(ISNUMBER(VLOOKUP("2.1.3.1",A2:N116,10,FALSE)),VLOOKUP("2.1.3.1",A2:N116,10,FALSE),0) - IF(ISNUMBER(VLOOKUP("2.1.3.1.1",A2:N116,10,FALSE)),VLOOKUP("2.1.3.1.1",A2:N116,10,FALSE),0) - IF(ISNUMBER(VLOOKUP("2.1.3.1.2",A2:N116,10,FALSE)),VLOOKUP("2.1.3.1.2",A2:N116,10,FALSE),0) + IF(ISNUMBER(VLOOKUP("5.1",A2:N116,10,FALSE)),VLOOKUP("5.1",A2:N116,10,FALSE),0) - IF(ISNUMBER(VLOOKUP("5.1.1",A2:N116,10,FALSE)),VLOOKUP("5.1.1",A2:N116,10,FALSE),0)) / (IF(ISNUMBER(VLOOKUP("1",A2:N116,10,FALSE)),VLOOKUP("1",A2:N116,10,FALSE),0) - IF(ISNA(VLOOKUP("15.1.1",A2:N116,10,FALSE)),0,VLOOKUP("15.1.1",A2:N116,10,FALSE)))</f>
        <v>6.0716242902990186E-2</v>
      </c>
      <c r="K50" s="14">
        <f>(IF(ISNUMBER(VLOOKUP("2.1.1",A2:N116,11,FALSE)),VLOOKUP("2.1.1",A2:N116,11,FALSE),0) - IF(ISNUMBER(VLOOKUP("2.1.1.1",A2:N116,11,FALSE)),VLOOKUP("2.1.1.1",A2:N116,11,FALSE),0) + IF(ISNUMBER(VLOOKUP("2.1.3.1",A2:N116,11,FALSE)),VLOOKUP("2.1.3.1",A2:N116,11,FALSE),0) - IF(ISNUMBER(VLOOKUP("2.1.3.1.1",A2:N116,11,FALSE)),VLOOKUP("2.1.3.1.1",A2:N116,11,FALSE),0) - IF(ISNUMBER(VLOOKUP("2.1.3.1.2",A2:N116,11,FALSE)),VLOOKUP("2.1.3.1.2",A2:N116,11,FALSE),0) + IF(ISNUMBER(VLOOKUP("5.1",A2:N116,11,FALSE)),VLOOKUP("5.1",A2:N116,11,FALSE),0) - IF(ISNUMBER(VLOOKUP("5.1.1",A2:N116,11,FALSE)),VLOOKUP("5.1.1",A2:N116,11,FALSE),0)) / (IF(ISNUMBER(VLOOKUP("1",A2:N116,11,FALSE)),VLOOKUP("1",A2:N116,11,FALSE),0) - IF(ISNA(VLOOKUP("15.1.1",A2:N116,11,FALSE)),0,VLOOKUP("15.1.1",A2:N116,11,FALSE)))</f>
        <v>5.7878964982216001E-2</v>
      </c>
      <c r="L50" s="14">
        <f>(IF(ISNUMBER(VLOOKUP("2.1.1",A2:N116,12,FALSE)),VLOOKUP("2.1.1",A2:N116,12,FALSE),0) - IF(ISNUMBER(VLOOKUP("2.1.1.1",A2:N116,12,FALSE)),VLOOKUP("2.1.1.1",A2:N116,12,FALSE),0) + IF(ISNUMBER(VLOOKUP("2.1.3.1",A2:N116,12,FALSE)),VLOOKUP("2.1.3.1",A2:N116,12,FALSE),0) - IF(ISNUMBER(VLOOKUP("2.1.3.1.1",A2:N116,12,FALSE)),VLOOKUP("2.1.3.1.1",A2:N116,12,FALSE),0) - IF(ISNUMBER(VLOOKUP("2.1.3.1.2",A2:N116,12,FALSE)),VLOOKUP("2.1.3.1.2",A2:N116,12,FALSE),0) + IF(ISNUMBER(VLOOKUP("5.1",A2:N116,12,FALSE)),VLOOKUP("5.1",A2:N116,12,FALSE),0) - IF(ISNUMBER(VLOOKUP("5.1.1",A2:N116,12,FALSE)),VLOOKUP("5.1.1",A2:N116,12,FALSE),0)) / (IF(ISNUMBER(VLOOKUP("1",A2:N116,12,FALSE)),VLOOKUP("1",A2:N116,12,FALSE),0) - IF(ISNA(VLOOKUP("15.1.1",A2:N116,12,FALSE)),0,VLOOKUP("15.1.1",A2:N116,12,FALSE)))</f>
        <v>2.8968886117944941E-2</v>
      </c>
      <c r="M50" s="14">
        <f>(IF(ISNUMBER(VLOOKUP("2.1.1",A2:N116,13,FALSE)),VLOOKUP("2.1.1",A2:N116,13,FALSE),0) - IF(ISNUMBER(VLOOKUP("2.1.1.1",A2:N116,13,FALSE)),VLOOKUP("2.1.1.1",A2:N116,13,FALSE),0) + IF(ISNUMBER(VLOOKUP("2.1.3.1",A2:N116,13,FALSE)),VLOOKUP("2.1.3.1",A2:N116,13,FALSE),0) - IF(ISNUMBER(VLOOKUP("2.1.3.1.1",A2:N116,13,FALSE)),VLOOKUP("2.1.3.1.1",A2:N116,13,FALSE),0) - IF(ISNUMBER(VLOOKUP("2.1.3.1.2",A2:N116,13,FALSE)),VLOOKUP("2.1.3.1.2",A2:N116,13,FALSE),0) + IF(ISNUMBER(VLOOKUP("5.1",A2:N116,13,FALSE)),VLOOKUP("5.1",A2:N116,13,FALSE),0) - IF(ISNUMBER(VLOOKUP("5.1.1",A2:N116,13,FALSE)),VLOOKUP("5.1.1",A2:N116,13,FALSE),0)) / (IF(ISNUMBER(VLOOKUP("1",A2:N116,13,FALSE)),VLOOKUP("1",A2:N116,13,FALSE),0) - IF(ISNA(VLOOKUP("15.1.1",A2:N116,13,FALSE)),0,VLOOKUP("15.1.1",A2:N116,13,FALSE)))</f>
        <v>2.7469560980247738E-2</v>
      </c>
      <c r="N50" s="14">
        <f>(IF(ISNUMBER(VLOOKUP("2.1.1",A2:N116,14,FALSE)),VLOOKUP("2.1.1",A2:N116,14,FALSE),0) - IF(ISNUMBER(VLOOKUP("2.1.1.1",A2:N116,14,FALSE)),VLOOKUP("2.1.1.1",A2:N116,14,FALSE),0) + IF(ISNUMBER(VLOOKUP("2.1.3.1",A2:N116,14,FALSE)),VLOOKUP("2.1.3.1",A2:N116,14,FALSE),0) - IF(ISNUMBER(VLOOKUP("2.1.3.1.1",A2:N116,14,FALSE)),VLOOKUP("2.1.3.1.1",A2:N116,14,FALSE),0) - IF(ISNUMBER(VLOOKUP("2.1.3.1.2",A2:N116,14,FALSE)),VLOOKUP("2.1.3.1.2",A2:N116,14,FALSE),0) + IF(ISNUMBER(VLOOKUP("5.1",A2:N116,14,FALSE)),VLOOKUP("5.1",A2:N116,14,FALSE),0) - IF(ISNUMBER(VLOOKUP("5.1.1",A2:N116,14,FALSE)),VLOOKUP("5.1.1",A2:N116,14,FALSE),0)) / (IF(ISNUMBER(VLOOKUP("1",A2:N116,14,FALSE)),VLOOKUP("1",A2:N116,14,FALSE),0) - IF(ISNA(VLOOKUP("15.1.1",A2:N116,14,FALSE)),0,VLOOKUP("15.1.1",A2:N116,14,FALSE)))</f>
        <v>3.1821129552487983E-2</v>
      </c>
    </row>
    <row r="51" spans="1:14" ht="52.9" customHeight="1" x14ac:dyDescent="0.25">
      <c r="A51" s="5" t="s">
        <v>108</v>
      </c>
      <c r="B51" s="6" t="s">
        <v>109</v>
      </c>
      <c r="C51" s="7">
        <v>0</v>
      </c>
      <c r="D51" s="7">
        <v>0</v>
      </c>
      <c r="E51" s="7">
        <v>0</v>
      </c>
      <c r="F51" s="7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65.650000000000006" customHeight="1" x14ac:dyDescent="0.25">
      <c r="A52" s="12" t="s">
        <v>110</v>
      </c>
      <c r="B52" s="13" t="s">
        <v>111</v>
      </c>
      <c r="C52" s="14">
        <f>(IF(ISNUMBER(VLOOKUP("2.1.1",A2:N116,3,FALSE)),VLOOKUP("2.1.1",A2:N116,3,FALSE),0) - IF(ISNUMBER(VLOOKUP("2.1.1.1",A2:N116,3,FALSE)),VLOOKUP("2.1.1.1",A2:N116,3,FALSE),0) + IF(ISNUMBER(VLOOKUP("2.1.3.1",A2:N116,3,FALSE)),VLOOKUP("2.1.3.1",A2:N116,3,FALSE),0) - IF(ISNUMBER(VLOOKUP("2.1.3.1.1",A2:N116,3,FALSE)),VLOOKUP("2.1.3.1.1",A2:N116,3,FALSE),0) - IF(ISNUMBER(VLOOKUP("2.1.3.1.2",A2:N116,3,FALSE)),VLOOKUP("2.1.3.1.2",A2:N116,3,FALSE),0) + IF(ISNUMBER(VLOOKUP("5.1",A2:N116,3,FALSE)),VLOOKUP("5.1",A2:N116,3,FALSE),0) - IF(ISNUMBER(VLOOKUP("5.1.1",A2:N116,3,FALSE)),VLOOKUP("5.1.1",A2:N116,3,FALSE),0) + IF(ISNUMBER(VLOOKUP("9.3",A2:N116,3,FALSE)),VLOOKUP("9.3",A2:N116,3,FALSE),0)) / (IF(ISNUMBER(VLOOKUP("1",A2:N116,3,FALSE)),VLOOKUP("1",A2:N116,3,FALSE),0) - IF(ISNA(VLOOKUP("15.1.1",A2:N116,3,FALSE)),0,VLOOKUP("15.1.1",A2:N116,3,FALSE)))</f>
        <v>6.7443278018881045E-2</v>
      </c>
      <c r="D52" s="14">
        <f>(IF(ISNUMBER(VLOOKUP("2.1.1",A2:N116,4,FALSE)),VLOOKUP("2.1.1",A2:N116,4,FALSE),0) - IF(ISNUMBER(VLOOKUP("2.1.1.1",A2:N116,4,FALSE)),VLOOKUP("2.1.1.1",A2:N116,4,FALSE),0) + IF(ISNUMBER(VLOOKUP("2.1.3.1",A2:N116,4,FALSE)),VLOOKUP("2.1.3.1",A2:N116,4,FALSE),0) - IF(ISNUMBER(VLOOKUP("2.1.3.1.1",A2:N116,4,FALSE)),VLOOKUP("2.1.3.1.1",A2:N116,4,FALSE),0) - IF(ISNUMBER(VLOOKUP("2.1.3.1.2",A2:N116,4,FALSE)),VLOOKUP("2.1.3.1.2",A2:N116,4,FALSE),0) + IF(ISNUMBER(VLOOKUP("5.1",A2:N116,4,FALSE)),VLOOKUP("5.1",A2:N116,4,FALSE),0) - IF(ISNUMBER(VLOOKUP("5.1.1",A2:N116,4,FALSE)),VLOOKUP("5.1.1",A2:N116,4,FALSE),0) + IF(ISNUMBER(VLOOKUP("9.3",A2:N116,4,FALSE)),VLOOKUP("9.3",A2:N116,4,FALSE),0)) / (IF(ISNUMBER(VLOOKUP("1",A2:N116,4,FALSE)),VLOOKUP("1",A2:N116,4,FALSE),0) - IF(ISNA(VLOOKUP("15.1.1",A2:N116,4,FALSE)),0,VLOOKUP("15.1.1",A2:N116,4,FALSE)))</f>
        <v>7.3313225567154999E-2</v>
      </c>
      <c r="E52" s="14">
        <f>(IF(ISNUMBER(VLOOKUP("2.1.1",A2:N116,5,FALSE)),VLOOKUP("2.1.1",A2:N116,5,FALSE),0) - IF(ISNUMBER(VLOOKUP("2.1.1.1",A2:N116,5,FALSE)),VLOOKUP("2.1.1.1",A2:N116,5,FALSE),0) + IF(ISNUMBER(VLOOKUP("2.1.3.1",A2:N116,5,FALSE)),VLOOKUP("2.1.3.1",A2:N116,5,FALSE),0) - IF(ISNUMBER(VLOOKUP("2.1.3.1.1",A2:N116,5,FALSE)),VLOOKUP("2.1.3.1.1",A2:N116,5,FALSE),0) - IF(ISNUMBER(VLOOKUP("2.1.3.1.2",A2:N116,5,FALSE)),VLOOKUP("2.1.3.1.2",A2:N116,5,FALSE),0) + IF(ISNUMBER(VLOOKUP("5.1",A2:N116,5,FALSE)),VLOOKUP("5.1",A2:N116,5,FALSE),0) - IF(ISNUMBER(VLOOKUP("5.1.1",A2:N116,5,FALSE)),VLOOKUP("5.1.1",A2:N116,5,FALSE),0) + IF(ISNUMBER(VLOOKUP("9.3",A2:N116,5,FALSE)),VLOOKUP("9.3",A2:N116,5,FALSE),0)) / (IF(ISNUMBER(VLOOKUP("1",A2:N116,5,FALSE)),VLOOKUP("1",A2:N116,5,FALSE),0) - IF(ISNA(VLOOKUP("15.1.1",A2:N116,5,FALSE)),0,VLOOKUP("15.1.1",A2:N116,5,FALSE)))</f>
        <v>7.049939569864605E-2</v>
      </c>
      <c r="F52" s="14">
        <f>(IF(ISNUMBER(VLOOKUP("2.1.1",A2:N116,6,FALSE)),VLOOKUP("2.1.1",A2:N116,6,FALSE),0) - IF(ISNUMBER(VLOOKUP("2.1.1.1",A2:N116,6,FALSE)),VLOOKUP("2.1.1.1",A2:N116,6,FALSE),0) + IF(ISNUMBER(VLOOKUP("2.1.3.1",A2:N116,6,FALSE)),VLOOKUP("2.1.3.1",A2:N116,6,FALSE),0) - IF(ISNUMBER(VLOOKUP("2.1.3.1.1",A2:N116,6,FALSE)),VLOOKUP("2.1.3.1.1",A2:N116,6,FALSE),0) - IF(ISNUMBER(VLOOKUP("2.1.3.1.2",A2:N116,6,FALSE)),VLOOKUP("2.1.3.1.2",A2:N116,6,FALSE),0) + IF(ISNUMBER(VLOOKUP("5.1",A2:N116,6,FALSE)),VLOOKUP("5.1",A2:N116,6,FALSE),0) - IF(ISNUMBER(VLOOKUP("5.1.1",A2:N116,6,FALSE)),VLOOKUP("5.1.1",A2:N116,6,FALSE),0) + IF(ISNUMBER(VLOOKUP("9.3",A2:N116,6,FALSE)),VLOOKUP("9.3",A2:N116,6,FALSE),0)) / (IF(ISNUMBER(VLOOKUP("1",A2:N116,6,FALSE)),VLOOKUP("1",A2:N116,6,FALSE),0) - IF(ISNA(VLOOKUP("15.1.1",A2:N116,6,FALSE)),0,VLOOKUP("15.1.1",A2:N116,6,FALSE)))</f>
        <v>6.9064726150870628E-2</v>
      </c>
      <c r="G52" s="14">
        <f>(IF(ISNUMBER(VLOOKUP("2.1.1",A2:N116,7,FALSE)),VLOOKUP("2.1.1",A2:N116,7,FALSE),0) - IF(ISNUMBER(VLOOKUP("2.1.1.1",A2:N116,7,FALSE)),VLOOKUP("2.1.1.1",A2:N116,7,FALSE),0) + IF(ISNUMBER(VLOOKUP("2.1.3.1",A2:N116,7,FALSE)),VLOOKUP("2.1.3.1",A2:N116,7,FALSE),0) - IF(ISNUMBER(VLOOKUP("2.1.3.1.1",A2:N116,7,FALSE)),VLOOKUP("2.1.3.1.1",A2:N116,7,FALSE),0) - IF(ISNUMBER(VLOOKUP("2.1.3.1.2",A2:N116,7,FALSE)),VLOOKUP("2.1.3.1.2",A2:N116,7,FALSE),0) + IF(ISNUMBER(VLOOKUP("5.1",A2:N116,7,FALSE)),VLOOKUP("5.1",A2:N116,7,FALSE),0) - IF(ISNUMBER(VLOOKUP("5.1.1",A2:N116,7,FALSE)),VLOOKUP("5.1.1",A2:N116,7,FALSE),0) + IF(ISNUMBER(VLOOKUP("9.3",A2:N116,7,FALSE)),VLOOKUP("9.3",A2:N116,7,FALSE),0)) / (IF(ISNUMBER(VLOOKUP("1",A2:N116,7,FALSE)),VLOOKUP("1",A2:N116,7,FALSE),0) - IF(ISNA(VLOOKUP("15.1.1",A2:N116,7,FALSE)),0,VLOOKUP("15.1.1",A2:N116,7,FALSE)))</f>
        <v>5.9236574310548115E-2</v>
      </c>
      <c r="H52" s="14">
        <f>(IF(ISNUMBER(VLOOKUP("2.1.1",A2:N116,8,FALSE)),VLOOKUP("2.1.1",A2:N116,8,FALSE),0) - IF(ISNUMBER(VLOOKUP("2.1.1.1",A2:N116,8,FALSE)),VLOOKUP("2.1.1.1",A2:N116,8,FALSE),0) + IF(ISNUMBER(VLOOKUP("2.1.3.1",A2:N116,8,FALSE)),VLOOKUP("2.1.3.1",A2:N116,8,FALSE),0) - IF(ISNUMBER(VLOOKUP("2.1.3.1.1",A2:N116,8,FALSE)),VLOOKUP("2.1.3.1.1",A2:N116,8,FALSE),0) - IF(ISNUMBER(VLOOKUP("2.1.3.1.2",A2:N116,8,FALSE)),VLOOKUP("2.1.3.1.2",A2:N116,8,FALSE),0) + IF(ISNUMBER(VLOOKUP("5.1",A2:N116,8,FALSE)),VLOOKUP("5.1",A2:N116,8,FALSE),0) - IF(ISNUMBER(VLOOKUP("5.1.1",A2:N116,8,FALSE)),VLOOKUP("5.1.1",A2:N116,8,FALSE),0) + IF(ISNUMBER(VLOOKUP("9.3",A2:N116,8,FALSE)),VLOOKUP("9.3",A2:N116,8,FALSE),0)) / (IF(ISNUMBER(VLOOKUP("1",A2:N116,8,FALSE)),VLOOKUP("1",A2:N116,8,FALSE),0) - IF(ISNA(VLOOKUP("15.1.1",A2:N116,8,FALSE)),0,VLOOKUP("15.1.1",A2:N116,8,FALSE)))</f>
        <v>6.293654896730376E-2</v>
      </c>
      <c r="I52" s="14">
        <f>(IF(ISNUMBER(VLOOKUP("2.1.1",A2:N116,9,FALSE)),VLOOKUP("2.1.1",A2:N116,9,FALSE),0) - IF(ISNUMBER(VLOOKUP("2.1.1.1",A2:N116,9,FALSE)),VLOOKUP("2.1.1.1",A2:N116,9,FALSE),0) + IF(ISNUMBER(VLOOKUP("2.1.3.1",A2:N116,9,FALSE)),VLOOKUP("2.1.3.1",A2:N116,9,FALSE),0) - IF(ISNUMBER(VLOOKUP("2.1.3.1.1",A2:N116,9,FALSE)),VLOOKUP("2.1.3.1.1",A2:N116,9,FALSE),0) - IF(ISNUMBER(VLOOKUP("2.1.3.1.2",A2:N116,9,FALSE)),VLOOKUP("2.1.3.1.2",A2:N116,9,FALSE),0) + IF(ISNUMBER(VLOOKUP("5.1",A2:N116,9,FALSE)),VLOOKUP("5.1",A2:N116,9,FALSE),0) - IF(ISNUMBER(VLOOKUP("5.1.1",A2:N116,9,FALSE)),VLOOKUP("5.1.1",A2:N116,9,FALSE),0) + IF(ISNUMBER(VLOOKUP("9.3",A2:N116,9,FALSE)),VLOOKUP("9.3",A2:N116,9,FALSE),0)) / (IF(ISNUMBER(VLOOKUP("1",A2:N116,9,FALSE)),VLOOKUP("1",A2:N116,9,FALSE),0) - IF(ISNA(VLOOKUP("15.1.1",A2:N116,9,FALSE)),0,VLOOKUP("15.1.1",A2:N116,9,FALSE)))</f>
        <v>5.793214086136976E-2</v>
      </c>
      <c r="J52" s="14">
        <f>(IF(ISNUMBER(VLOOKUP("2.1.1",A2:N116,10,FALSE)),VLOOKUP("2.1.1",A2:N116,10,FALSE),0) - IF(ISNUMBER(VLOOKUP("2.1.1.1",A2:N116,10,FALSE)),VLOOKUP("2.1.1.1",A2:N116,10,FALSE),0) + IF(ISNUMBER(VLOOKUP("2.1.3.1",A2:N116,10,FALSE)),VLOOKUP("2.1.3.1",A2:N116,10,FALSE),0) - IF(ISNUMBER(VLOOKUP("2.1.3.1.1",A2:N116,10,FALSE)),VLOOKUP("2.1.3.1.1",A2:N116,10,FALSE),0) - IF(ISNUMBER(VLOOKUP("2.1.3.1.2",A2:N116,10,FALSE)),VLOOKUP("2.1.3.1.2",A2:N116,10,FALSE),0) + IF(ISNUMBER(VLOOKUP("5.1",A2:N116,10,FALSE)),VLOOKUP("5.1",A2:N116,10,FALSE),0) - IF(ISNUMBER(VLOOKUP("5.1.1",A2:N116,10,FALSE)),VLOOKUP("5.1.1",A2:N116,10,FALSE),0) + IF(ISNUMBER(VLOOKUP("9.3",A2:N116,10,FALSE)),VLOOKUP("9.3",A2:N116,10,FALSE),0)) / (IF(ISNUMBER(VLOOKUP("1",A2:N116,10,FALSE)),VLOOKUP("1",A2:N116,10,FALSE),0) - IF(ISNA(VLOOKUP("15.1.1",A2:N116,10,FALSE)),0,VLOOKUP("15.1.1",A2:N116,10,FALSE)))</f>
        <v>6.0716242902990186E-2</v>
      </c>
      <c r="K52" s="14">
        <f>(IF(ISNUMBER(VLOOKUP("2.1.1",A2:N116,11,FALSE)),VLOOKUP("2.1.1",A2:N116,11,FALSE),0) - IF(ISNUMBER(VLOOKUP("2.1.1.1",A2:N116,11,FALSE)),VLOOKUP("2.1.1.1",A2:N116,11,FALSE),0) + IF(ISNUMBER(VLOOKUP("2.1.3.1",A2:N116,11,FALSE)),VLOOKUP("2.1.3.1",A2:N116,11,FALSE),0) - IF(ISNUMBER(VLOOKUP("2.1.3.1.1",A2:N116,11,FALSE)),VLOOKUP("2.1.3.1.1",A2:N116,11,FALSE),0) - IF(ISNUMBER(VLOOKUP("2.1.3.1.2",A2:N116,11,FALSE)),VLOOKUP("2.1.3.1.2",A2:N116,11,FALSE),0) + IF(ISNUMBER(VLOOKUP("5.1",A2:N116,11,FALSE)),VLOOKUP("5.1",A2:N116,11,FALSE),0) - IF(ISNUMBER(VLOOKUP("5.1.1",A2:N116,11,FALSE)),VLOOKUP("5.1.1",A2:N116,11,FALSE),0) + IF(ISNUMBER(VLOOKUP("9.3",A2:N116,11,FALSE)),VLOOKUP("9.3",A2:N116,11,FALSE),0)) / (IF(ISNUMBER(VLOOKUP("1",A2:N116,11,FALSE)),VLOOKUP("1",A2:N116,11,FALSE),0) - IF(ISNA(VLOOKUP("15.1.1",A2:N116,11,FALSE)),0,VLOOKUP("15.1.1",A2:N116,11,FALSE)))</f>
        <v>5.7878964982216001E-2</v>
      </c>
      <c r="L52" s="14">
        <f>(IF(ISNUMBER(VLOOKUP("2.1.1",A2:N116,12,FALSE)),VLOOKUP("2.1.1",A2:N116,12,FALSE),0) - IF(ISNUMBER(VLOOKUP("2.1.1.1",A2:N116,12,FALSE)),VLOOKUP("2.1.1.1",A2:N116,12,FALSE),0) + IF(ISNUMBER(VLOOKUP("2.1.3.1",A2:N116,12,FALSE)),VLOOKUP("2.1.3.1",A2:N116,12,FALSE),0) - IF(ISNUMBER(VLOOKUP("2.1.3.1.1",A2:N116,12,FALSE)),VLOOKUP("2.1.3.1.1",A2:N116,12,FALSE),0) - IF(ISNUMBER(VLOOKUP("2.1.3.1.2",A2:N116,12,FALSE)),VLOOKUP("2.1.3.1.2",A2:N116,12,FALSE),0) + IF(ISNUMBER(VLOOKUP("5.1",A2:N116,12,FALSE)),VLOOKUP("5.1",A2:N116,12,FALSE),0) - IF(ISNUMBER(VLOOKUP("5.1.1",A2:N116,12,FALSE)),VLOOKUP("5.1.1",A2:N116,12,FALSE),0) + IF(ISNUMBER(VLOOKUP("9.3",A2:N116,12,FALSE)),VLOOKUP("9.3",A2:N116,12,FALSE),0)) / (IF(ISNUMBER(VLOOKUP("1",A2:N116,12,FALSE)),VLOOKUP("1",A2:N116,12,FALSE),0) - IF(ISNA(VLOOKUP("15.1.1",A2:N116,12,FALSE)),0,VLOOKUP("15.1.1",A2:N116,12,FALSE)))</f>
        <v>2.8968886117944941E-2</v>
      </c>
      <c r="M52" s="14">
        <f>(IF(ISNUMBER(VLOOKUP("2.1.1",A2:N116,13,FALSE)),VLOOKUP("2.1.1",A2:N116,13,FALSE),0) - IF(ISNUMBER(VLOOKUP("2.1.1.1",A2:N116,13,FALSE)),VLOOKUP("2.1.1.1",A2:N116,13,FALSE),0) + IF(ISNUMBER(VLOOKUP("2.1.3.1",A2:N116,13,FALSE)),VLOOKUP("2.1.3.1",A2:N116,13,FALSE),0) - IF(ISNUMBER(VLOOKUP("2.1.3.1.1",A2:N116,13,FALSE)),VLOOKUP("2.1.3.1.1",A2:N116,13,FALSE),0) - IF(ISNUMBER(VLOOKUP("2.1.3.1.2",A2:N116,13,FALSE)),VLOOKUP("2.1.3.1.2",A2:N116,13,FALSE),0) + IF(ISNUMBER(VLOOKUP("5.1",A2:N116,13,FALSE)),VLOOKUP("5.1",A2:N116,13,FALSE),0) - IF(ISNUMBER(VLOOKUP("5.1.1",A2:N116,13,FALSE)),VLOOKUP("5.1.1",A2:N116,13,FALSE),0) + IF(ISNUMBER(VLOOKUP("9.3",A2:N116,13,FALSE)),VLOOKUP("9.3",A2:N116,13,FALSE),0)) / (IF(ISNUMBER(VLOOKUP("1",A2:N116,13,FALSE)),VLOOKUP("1",A2:N116,13,FALSE),0) - IF(ISNA(VLOOKUP("15.1.1",A2:N116,13,FALSE)),0,VLOOKUP("15.1.1",A2:N116,13,FALSE)))</f>
        <v>2.7469560980247738E-2</v>
      </c>
      <c r="N52" s="14">
        <f>(IF(ISNUMBER(VLOOKUP("2.1.1",A2:N116,14,FALSE)),VLOOKUP("2.1.1",A2:N116,14,FALSE),0) - IF(ISNUMBER(VLOOKUP("2.1.1.1",A2:N116,14,FALSE)),VLOOKUP("2.1.1.1",A2:N116,14,FALSE),0) + IF(ISNUMBER(VLOOKUP("2.1.3.1",A2:N116,14,FALSE)),VLOOKUP("2.1.3.1",A2:N116,14,FALSE),0) - IF(ISNUMBER(VLOOKUP("2.1.3.1.1",A2:N116,14,FALSE)),VLOOKUP("2.1.3.1.1",A2:N116,14,FALSE),0) - IF(ISNUMBER(VLOOKUP("2.1.3.1.2",A2:N116,14,FALSE)),VLOOKUP("2.1.3.1.2",A2:N116,14,FALSE),0) + IF(ISNUMBER(VLOOKUP("5.1",A2:N116,14,FALSE)),VLOOKUP("5.1",A2:N116,14,FALSE),0) - IF(ISNUMBER(VLOOKUP("5.1.1",A2:N116,14,FALSE)),VLOOKUP("5.1.1",A2:N116,14,FALSE),0) + IF(ISNUMBER(VLOOKUP("9.3",A2:N116,14,FALSE)),VLOOKUP("9.3",A2:N116,14,FALSE),0)) / (IF(ISNUMBER(VLOOKUP("1",A2:N116,14,FALSE)),VLOOKUP("1",A2:N116,14,FALSE),0) - IF(ISNA(VLOOKUP("15.1.1",A2:N116,14,FALSE)),0,VLOOKUP("15.1.1",A2:N116,14,FALSE)))</f>
        <v>3.1821129552487983E-2</v>
      </c>
    </row>
    <row r="53" spans="1:14" ht="52.9" customHeight="1" x14ac:dyDescent="0.25">
      <c r="A53" s="12" t="s">
        <v>112</v>
      </c>
      <c r="B53" s="13" t="s">
        <v>113</v>
      </c>
      <c r="C53" s="14">
        <f>((IF(ISNUMBER(VLOOKUP("1.1",A2:N116,3,FALSE)),VLOOKUP("1.1",A2:N116,3,FALSE),0) - IF(ISNA(VLOOKUP("15.1.1",A2:N116,3,FALSE)),0,VLOOKUP("15.1.1",A2:N116,3,FALSE))) - (IF(ISNUMBER(VLOOKUP("2.1",A2:N116,3,FALSE)),VLOOKUP("2.1",A2:N116,3,FALSE),0) - IF(ISNUMBER(VLOOKUP("2.1.2",A2:N116,3,FALSE)),VLOOKUP("2.1.2",A2:N116,3,FALSE),0) - IF(ISNA(VLOOKUP("15.2",A2:N116,3,FALSE)),0,VLOOKUP("15.2",A2:N116,3,FALSE))) + IF(ISNUMBER(VLOOKUP("1.2.1",A2:N116,3,FALSE)),VLOOKUP("1.2.1",A2:N116,3,FALSE),0)) / (IF(ISNUMBER(VLOOKUP("1",A2:N116,3,FALSE)),VLOOKUP("1",A2:N116,3,FALSE),0) - IF(ISNA(VLOOKUP("15.1.1",A2:N116,3,FALSE)),0,VLOOKUP("15.1.1",A2:N116,3,FALSE)))</f>
        <v>0.12527664897662616</v>
      </c>
      <c r="D53" s="14">
        <f>((IF(ISNUMBER(VLOOKUP("1.1",A2:N116,4,FALSE)),VLOOKUP("1.1",A2:N116,4,FALSE),0) - IF(ISNA(VLOOKUP("15.1.1",A2:N116,4,FALSE)),0,VLOOKUP("15.1.1",A2:N116,4,FALSE))) - (IF(ISNUMBER(VLOOKUP("2.1",A2:N116,4,FALSE)),VLOOKUP("2.1",A2:N116,4,FALSE),0) - IF(ISNUMBER(VLOOKUP("2.1.2",A2:N116,4,FALSE)),VLOOKUP("2.1.2",A2:N116,4,FALSE),0) - IF(ISNA(VLOOKUP("15.2",A2:N116,4,FALSE)),0,VLOOKUP("15.2",A2:N116,4,FALSE))) + IF(ISNUMBER(VLOOKUP("1.2.1",A2:N116,4,FALSE)),VLOOKUP("1.2.1",A2:N116,4,FALSE),0)) / (IF(ISNUMBER(VLOOKUP("1",A2:N116,4,FALSE)),VLOOKUP("1",A2:N116,4,FALSE),0) - IF(ISNA(VLOOKUP("15.1.1",A2:N116,4,FALSE)),0,VLOOKUP("15.1.1",A2:N116,4,FALSE)))</f>
        <v>0.11026355717999559</v>
      </c>
      <c r="E53" s="14">
        <f>((IF(ISNUMBER(VLOOKUP("1.1",A2:N116,5,FALSE)),VLOOKUP("1.1",A2:N116,5,FALSE),0) - IF(ISNA(VLOOKUP("15.1.1",A2:N116,5,FALSE)),0,VLOOKUP("15.1.1",A2:N116,5,FALSE))) - (IF(ISNUMBER(VLOOKUP("2.1",A2:N116,5,FALSE)),VLOOKUP("2.1",A2:N116,5,FALSE),0) - IF(ISNUMBER(VLOOKUP("2.1.2",A2:N116,5,FALSE)),VLOOKUP("2.1.2",A2:N116,5,FALSE),0) - IF(ISNA(VLOOKUP("15.2",A2:N116,5,FALSE)),0,VLOOKUP("15.2",A2:N116,5,FALSE))) + IF(ISNUMBER(VLOOKUP("1.2.1",A2:N116,5,FALSE)),VLOOKUP("1.2.1",A2:N116,5,FALSE),0)) / (IF(ISNUMBER(VLOOKUP("1",A2:N116,5,FALSE)),VLOOKUP("1",A2:N116,5,FALSE),0) - IF(ISNA(VLOOKUP("15.1.1",A2:N116,5,FALSE)),0,VLOOKUP("15.1.1",A2:N116,5,FALSE)))</f>
        <v>9.4650119689526538E-2</v>
      </c>
      <c r="F53" s="14">
        <f>((IF(ISNUMBER(VLOOKUP("1.1",A2:N116,6,FALSE)),VLOOKUP("1.1",A2:N116,6,FALSE),0) - IF(ISNA(VLOOKUP("15.1.1",A2:N116,6,FALSE)),0,VLOOKUP("15.1.1",A2:N116,6,FALSE))) - (IF(ISNUMBER(VLOOKUP("2.1",A2:N116,6,FALSE)),VLOOKUP("2.1",A2:N116,6,FALSE),0) - IF(ISNUMBER(VLOOKUP("2.1.2",A2:N116,6,FALSE)),VLOOKUP("2.1.2",A2:N116,6,FALSE),0) - IF(ISNA(VLOOKUP("15.2",A2:N116,6,FALSE)),0,VLOOKUP("15.2",A2:N116,6,FALSE))) + IF(ISNUMBER(VLOOKUP("1.2.1",A2:N116,6,FALSE)),VLOOKUP("1.2.1",A2:N116,6,FALSE),0)) / (IF(ISNUMBER(VLOOKUP("1",A2:N116,6,FALSE)),VLOOKUP("1",A2:N116,6,FALSE),0) - IF(ISNA(VLOOKUP("15.1.1",A2:N116,6,FALSE)),0,VLOOKUP("15.1.1",A2:N116,6,FALSE)))</f>
        <v>8.6617518776430424E-2</v>
      </c>
      <c r="G53" s="14">
        <f>((IF(ISNUMBER(VLOOKUP("1.1",A2:N116,7,FALSE)),VLOOKUP("1.1",A2:N116,7,FALSE),0) - IF(ISNA(VLOOKUP("15.1.1",A2:N116,7,FALSE)),0,VLOOKUP("15.1.1",A2:N116,7,FALSE))) - (IF(ISNUMBER(VLOOKUP("2.1",A2:N116,7,FALSE)),VLOOKUP("2.1",A2:N116,7,FALSE),0) - IF(ISNUMBER(VLOOKUP("2.1.2",A2:N116,7,FALSE)),VLOOKUP("2.1.2",A2:N116,7,FALSE),0) - IF(ISNA(VLOOKUP("15.2",A2:N116,7,FALSE)),0,VLOOKUP("15.2",A2:N116,7,FALSE))) + IF(ISNUMBER(VLOOKUP("1.2.1",A2:N116,7,FALSE)),VLOOKUP("1.2.1",A2:N116,7,FALSE),0)) / (IF(ISNUMBER(VLOOKUP("1",A2:N116,7,FALSE)),VLOOKUP("1",A2:N116,7,FALSE),0) - IF(ISNA(VLOOKUP("15.1.1",A2:N116,7,FALSE)),0,VLOOKUP("15.1.1",A2:N116,7,FALSE)))</f>
        <v>-4.175839965713652E-2</v>
      </c>
      <c r="H53" s="14">
        <f>((IF(ISNUMBER(VLOOKUP("1.1",A2:N116,8,FALSE)),VLOOKUP("1.1",A2:N116,8,FALSE),0) - IF(ISNA(VLOOKUP("15.1.1",A2:N116,8,FALSE)),0,VLOOKUP("15.1.1",A2:N116,8,FALSE))) - (IF(ISNUMBER(VLOOKUP("2.1",A2:N116,8,FALSE)),VLOOKUP("2.1",A2:N116,8,FALSE),0) - IF(ISNUMBER(VLOOKUP("2.1.2",A2:N116,8,FALSE)),VLOOKUP("2.1.2",A2:N116,8,FALSE),0) - IF(ISNA(VLOOKUP("15.2",A2:N116,8,FALSE)),0,VLOOKUP("15.2",A2:N116,8,FALSE))) + IF(ISNUMBER(VLOOKUP("1.2.1",A2:N116,8,FALSE)),VLOOKUP("1.2.1",A2:N116,8,FALSE),0)) / (IF(ISNUMBER(VLOOKUP("1",A2:N116,8,FALSE)),VLOOKUP("1",A2:N116,8,FALSE),0) - IF(ISNA(VLOOKUP("15.1.1",A2:N116,8,FALSE)),0,VLOOKUP("15.1.1",A2:N116,8,FALSE)))</f>
        <v>0.10486671677648718</v>
      </c>
      <c r="I53" s="14">
        <f>((IF(ISNUMBER(VLOOKUP("1.1",A2:N116,9,FALSE)),VLOOKUP("1.1",A2:N116,9,FALSE),0) - IF(ISNA(VLOOKUP("15.1.1",A2:N116,9,FALSE)),0,VLOOKUP("15.1.1",A2:N116,9,FALSE))) - (IF(ISNUMBER(VLOOKUP("2.1",A2:N116,9,FALSE)),VLOOKUP("2.1",A2:N116,9,FALSE),0) - IF(ISNUMBER(VLOOKUP("2.1.2",A2:N116,9,FALSE)),VLOOKUP("2.1.2",A2:N116,9,FALSE),0) - IF(ISNA(VLOOKUP("15.2",A2:N116,9,FALSE)),0,VLOOKUP("15.2",A2:N116,9,FALSE))) + IF(ISNUMBER(VLOOKUP("1.2.1",A2:N116,9,FALSE)),VLOOKUP("1.2.1",A2:N116,9,FALSE),0)) / (IF(ISNUMBER(VLOOKUP("1",A2:N116,9,FALSE)),VLOOKUP("1",A2:N116,9,FALSE),0) - IF(ISNA(VLOOKUP("15.1.1",A2:N116,9,FALSE)),0,VLOOKUP("15.1.1",A2:N116,9,FALSE)))</f>
        <v>0.10880898451565373</v>
      </c>
      <c r="J53" s="14">
        <f>((IF(ISNUMBER(VLOOKUP("1.1",A2:N116,10,FALSE)),VLOOKUP("1.1",A2:N116,10,FALSE),0) - IF(ISNA(VLOOKUP("15.1.1",A2:N116,10,FALSE)),0,VLOOKUP("15.1.1",A2:N116,10,FALSE))) - (IF(ISNUMBER(VLOOKUP("2.1",A2:N116,10,FALSE)),VLOOKUP("2.1",A2:N116,10,FALSE),0) - IF(ISNUMBER(VLOOKUP("2.1.2",A2:N116,10,FALSE)),VLOOKUP("2.1.2",A2:N116,10,FALSE),0) - IF(ISNA(VLOOKUP("15.2",A2:N116,10,FALSE)),0,VLOOKUP("15.2",A2:N116,10,FALSE))) + IF(ISNUMBER(VLOOKUP("1.2.1",A2:N116,10,FALSE)),VLOOKUP("1.2.1",A2:N116,10,FALSE),0)) / (IF(ISNUMBER(VLOOKUP("1",A2:N116,10,FALSE)),VLOOKUP("1",A2:N116,10,FALSE),0) - IF(ISNA(VLOOKUP("15.1.1",A2:N116,10,FALSE)),0,VLOOKUP("15.1.1",A2:N116,10,FALSE)))</f>
        <v>0.1101510833188403</v>
      </c>
      <c r="K53" s="14">
        <f>((IF(ISNUMBER(VLOOKUP("1.1",A2:N116,11,FALSE)),VLOOKUP("1.1",A2:N116,11,FALSE),0) - IF(ISNA(VLOOKUP("15.1.1",A2:N116,11,FALSE)),0,VLOOKUP("15.1.1",A2:N116,11,FALSE))) - (IF(ISNUMBER(VLOOKUP("2.1",A2:N116,11,FALSE)),VLOOKUP("2.1",A2:N116,11,FALSE),0) - IF(ISNUMBER(VLOOKUP("2.1.2",A2:N116,11,FALSE)),VLOOKUP("2.1.2",A2:N116,11,FALSE),0) - IF(ISNA(VLOOKUP("15.2",A2:N116,11,FALSE)),0,VLOOKUP("15.2",A2:N116,11,FALSE))) + IF(ISNUMBER(VLOOKUP("1.2.1",A2:N116,11,FALSE)),VLOOKUP("1.2.1",A2:N116,11,FALSE),0)) / (IF(ISNUMBER(VLOOKUP("1",A2:N116,11,FALSE)),VLOOKUP("1",A2:N116,11,FALSE),0) - IF(ISNA(VLOOKUP("15.1.1",A2:N116,11,FALSE)),0,VLOOKUP("15.1.1",A2:N116,11,FALSE)))</f>
        <v>0.11479087572345031</v>
      </c>
      <c r="L53" s="14">
        <f>((IF(ISNUMBER(VLOOKUP("1.1",A2:N116,12,FALSE)),VLOOKUP("1.1",A2:N116,12,FALSE),0) - IF(ISNA(VLOOKUP("15.1.1",A2:N116,12,FALSE)),0,VLOOKUP("15.1.1",A2:N116,12,FALSE))) - (IF(ISNUMBER(VLOOKUP("2.1",A2:N116,12,FALSE)),VLOOKUP("2.1",A2:N116,12,FALSE),0) - IF(ISNUMBER(VLOOKUP("2.1.2",A2:N116,12,FALSE)),VLOOKUP("2.1.2",A2:N116,12,FALSE),0) - IF(ISNA(VLOOKUP("15.2",A2:N116,12,FALSE)),0,VLOOKUP("15.2",A2:N116,12,FALSE))) + IF(ISNUMBER(VLOOKUP("1.2.1",A2:N116,12,FALSE)),VLOOKUP("1.2.1",A2:N116,12,FALSE),0)) / (IF(ISNUMBER(VLOOKUP("1",A2:N116,12,FALSE)),VLOOKUP("1",A2:N116,12,FALSE),0) - IF(ISNA(VLOOKUP("15.1.1",A2:N116,12,FALSE)),0,VLOOKUP("15.1.1",A2:N116,12,FALSE)))</f>
        <v>0.11906119541818294</v>
      </c>
      <c r="M53" s="14">
        <f>((IF(ISNUMBER(VLOOKUP("1.1",A2:N116,13,FALSE)),VLOOKUP("1.1",A2:N116,13,FALSE),0) - IF(ISNA(VLOOKUP("15.1.1",A2:N116,13,FALSE)),0,VLOOKUP("15.1.1",A2:N116,13,FALSE))) - (IF(ISNUMBER(VLOOKUP("2.1",A2:N116,13,FALSE)),VLOOKUP("2.1",A2:N116,13,FALSE),0) - IF(ISNUMBER(VLOOKUP("2.1.2",A2:N116,13,FALSE)),VLOOKUP("2.1.2",A2:N116,13,FALSE),0) - IF(ISNA(VLOOKUP("15.2",A2:N116,13,FALSE)),0,VLOOKUP("15.2",A2:N116,13,FALSE))) + IF(ISNUMBER(VLOOKUP("1.2.1",A2:N116,13,FALSE)),VLOOKUP("1.2.1",A2:N116,13,FALSE),0)) / (IF(ISNUMBER(VLOOKUP("1",A2:N116,13,FALSE)),VLOOKUP("1",A2:N116,13,FALSE),0) - IF(ISNA(VLOOKUP("15.1.1",A2:N116,13,FALSE)),0,VLOOKUP("15.1.1",A2:N116,13,FALSE)))</f>
        <v>0.1123826052150234</v>
      </c>
      <c r="N53" s="14">
        <f>((IF(ISNUMBER(VLOOKUP("1.1",A2:N116,14,FALSE)),VLOOKUP("1.1",A2:N116,14,FALSE),0) - IF(ISNA(VLOOKUP("15.1.1",A2:N116,14,FALSE)),0,VLOOKUP("15.1.1",A2:N116,14,FALSE))) - (IF(ISNUMBER(VLOOKUP("2.1",A2:N116,14,FALSE)),VLOOKUP("2.1",A2:N116,14,FALSE),0) - IF(ISNUMBER(VLOOKUP("2.1.2",A2:N116,14,FALSE)),VLOOKUP("2.1.2",A2:N116,14,FALSE),0) - IF(ISNA(VLOOKUP("15.2",A2:N116,14,FALSE)),0,VLOOKUP("15.2",A2:N116,14,FALSE))) + IF(ISNUMBER(VLOOKUP("1.2.1",A2:N116,14,FALSE)),VLOOKUP("1.2.1",A2:N116,14,FALSE),0)) / (IF(ISNUMBER(VLOOKUP("1",A2:N116,14,FALSE)),VLOOKUP("1",A2:N116,14,FALSE),0) - IF(ISNA(VLOOKUP("15.1.1",A2:N116,14,FALSE)),0,VLOOKUP("15.1.1",A2:N116,14,FALSE)))</f>
        <v>0.11000341420443405</v>
      </c>
    </row>
    <row r="54" spans="1:14" ht="65.650000000000006" customHeight="1" x14ac:dyDescent="0.25">
      <c r="A54" s="15" t="s">
        <v>114</v>
      </c>
      <c r="B54" s="16" t="s">
        <v>115</v>
      </c>
      <c r="C54" s="17">
        <f t="shared" ref="C54:F55" si="0" xml:space="preserve"> 0.15</f>
        <v>0.15</v>
      </c>
      <c r="D54" s="17">
        <f t="shared" si="0"/>
        <v>0.15</v>
      </c>
      <c r="E54" s="17">
        <f t="shared" si="0"/>
        <v>0.15</v>
      </c>
      <c r="F54" s="17">
        <f t="shared" si="0"/>
        <v>0.15</v>
      </c>
      <c r="G54" s="17">
        <f>(IF(ISNUMBER(VLOOKUP("9.5",A2:N116,3,FALSE)),VLOOKUP("9.5",A2:N116,3,FALSE),0) + IF(ISNUMBER(VLOOKUP("9.5",A2:N116,4,FALSE)),VLOOKUP("9.5",A2:N116,4,FALSE),0) + IF(ISNUMBER(VLOOKUP("9.5",A2:N116,5,FALSE)),VLOOKUP("9.5",A2:N116,5,FALSE),0)) / 3</f>
        <v>0.11006344194871609</v>
      </c>
      <c r="H54" s="17">
        <f xml:space="preserve"> (IF(ISNUMBER(VLOOKUP("9.5",A2:N116,4,FALSE)),VLOOKUP("9.5",A2:N116,4,FALSE),0) + IF(ISNUMBER(VLOOKUP("9.5",A2:N116,5,FALSE)),VLOOKUP("9.5",A2:N116,5,FALSE),0) + IF(ISNUMBER(VLOOKUP("9.5",A2:N116,7,FALSE)),VLOOKUP("9.5",A2:N116,7,FALSE),0)) / 3</f>
        <v>5.4385092404128532E-2</v>
      </c>
      <c r="I54" s="17">
        <f xml:space="preserve"> (IF(ISNUMBER(VLOOKUP("9.5",A2:N116,5,FALSE)),VLOOKUP("9.5",A2:N116,5,FALSE),0) + IF(ISNUMBER(VLOOKUP("9.5",A2:N116,7,FALSE)),VLOOKUP("9.5",A2:N116,7,FALSE),0) + IF(ISNUMBER(VLOOKUP("9.5",A2:N116,8,FALSE)),VLOOKUP("9.5",A2:N116,8,FALSE),0)) / 3</f>
        <v>5.2586145602959065E-2</v>
      </c>
      <c r="J54" s="17">
        <f>(IF(ISNUMBER(VLOOKUP("9.5",A2:N116,7,FALSE)),VLOOKUP("9.5",A2:N116,7,FALSE),0) + IF(ISNUMBER(VLOOKUP("9.5",A2:N116,8,FALSE)),VLOOKUP("9.5",A2:N116,8,FALSE),0) + IF(ISNUMBER(VLOOKUP("9.5",A2:N116,9,FALSE)),VLOOKUP("9.5",A2:N116,9,FALSE),0)) / 3</f>
        <v>5.7305767211668135E-2</v>
      </c>
      <c r="K54" s="17">
        <f>(IF(ISNUMBER(VLOOKUP("9.5",A2:N116,8,FALSE)),VLOOKUP("9.5",A2:N116,8,FALSE),0) + IF(ISNUMBER(VLOOKUP("9.5",A2:N116,9,FALSE)),VLOOKUP("9.5",A2:N116,9,FALSE),0) + IF(ISNUMBER(VLOOKUP("9.5",A2:N116,10,FALSE)),VLOOKUP("9.5",A2:N116,10,FALSE),0)) / 3</f>
        <v>0.10794226153699375</v>
      </c>
      <c r="L54" s="17">
        <f>(IF(ISNUMBER(VLOOKUP("9.5",A2:N116,9,FALSE)),VLOOKUP("9.5",A2:N116,9,FALSE),0) + IF(ISNUMBER(VLOOKUP("9.5",A2:N116,10,FALSE)),VLOOKUP("9.5",A2:N116,10,FALSE),0) + IF(ISNUMBER(VLOOKUP("9.5",A2:N116,11,FALSE)),VLOOKUP("9.5",A2:N116,11,FALSE),0)) / 3</f>
        <v>0.11125031451931477</v>
      </c>
      <c r="M54" s="17">
        <f>(IF(ISNUMBER(VLOOKUP("9.5",A2:N116,10,FALSE)),VLOOKUP("9.5",A2:N116,10,FALSE),0) + IF(ISNUMBER(VLOOKUP("9.5",A2:N116,11,FALSE)),VLOOKUP("9.5",A2:N116,11,FALSE),0) + IF(ISNUMBER(VLOOKUP("9.5",A2:N116,12,FALSE)),VLOOKUP("9.5",A2:N116,12,FALSE),0)) / 3</f>
        <v>0.11466771815349119</v>
      </c>
      <c r="N54" s="17">
        <f>(IF(ISNUMBER(VLOOKUP("9.5",A2:N116,11,FALSE)),VLOOKUP("9.5",A2:N116,11,FALSE),0) + IF(ISNUMBER(VLOOKUP("9.5",A2:N116,12,FALSE)),VLOOKUP("9.5",A2:N116,12,FALSE),0) + IF(ISNUMBER(VLOOKUP("9.5",A2:N116,13,FALSE)),VLOOKUP("9.5",A2:N116,13,FALSE),0)) / 3</f>
        <v>0.11541155878555222</v>
      </c>
    </row>
    <row r="55" spans="1:14" ht="65.650000000000006" customHeight="1" x14ac:dyDescent="0.25">
      <c r="A55" s="12" t="s">
        <v>116</v>
      </c>
      <c r="B55" s="13" t="s">
        <v>117</v>
      </c>
      <c r="C55" s="14">
        <f t="shared" si="0"/>
        <v>0.15</v>
      </c>
      <c r="D55" s="14">
        <f t="shared" si="0"/>
        <v>0.15</v>
      </c>
      <c r="E55" s="14">
        <f t="shared" si="0"/>
        <v>0.15</v>
      </c>
      <c r="F55" s="14">
        <f t="shared" si="0"/>
        <v>0.15</v>
      </c>
      <c r="G55" s="14">
        <f>(IF(ISNUMBER(VLOOKUP("9.5",A2:N116,3,FALSE)),VLOOKUP("9.5",A2:N116,3,FALSE),0) + IF(ISNUMBER(VLOOKUP("9.5",A2:N116,4,FALSE)),VLOOKUP("9.5",A2:N116,4,FALSE),0) + IF(ISNUMBER(VLOOKUP("9.5",A2:N116,6,FALSE)),VLOOKUP("9.5",A2:N116,6,FALSE),0)) / 3</f>
        <v>0.10738590831101739</v>
      </c>
      <c r="H55" s="14">
        <f>(IF(ISNUMBER(VLOOKUP("9.5",A2:N116,4,FALSE)),VLOOKUP("9.5",A2:N116,4,FALSE),0) + IF(ISNUMBER(VLOOKUP("9.5",A2:N116,6,FALSE)),VLOOKUP("9.5",A2:N116,6,FALSE),0) + IF(ISNUMBER(VLOOKUP("9.5",A2:N116,7,FALSE)),VLOOKUP("9.5",A2:N116,7,FALSE),0)) / 3</f>
        <v>5.170755876642983E-2</v>
      </c>
      <c r="I55" s="14">
        <f>(IF(ISNUMBER(VLOOKUP("9.5",A2:N116,6,FALSE)),VLOOKUP("9.5",A2:N116,6,FALSE),0) + IF(ISNUMBER(VLOOKUP("9.5",A2:N116,7,FALSE)),VLOOKUP("9.5",A2:N116,7,FALSE),0) + IF(ISNUMBER(VLOOKUP("9.5",A2:N116,8,FALSE)),VLOOKUP("9.5",A2:N116,8,FALSE),0)) / 3</f>
        <v>4.9908611965260363E-2</v>
      </c>
      <c r="J55" s="14">
        <f>(IF(ISNUMBER(VLOOKUP("9.5",A2:N116,7,FALSE)),VLOOKUP("9.5",A2:N116,7,FALSE),0) + IF(ISNUMBER(VLOOKUP("9.5",A2:N116,8,FALSE)),VLOOKUP("9.5",A2:N116,8,FALSE),0) + IF(ISNUMBER(VLOOKUP("9.5",A2:N116,9,FALSE)),VLOOKUP("9.5",A2:N116,9,FALSE),0)) / 3</f>
        <v>5.7305767211668135E-2</v>
      </c>
      <c r="K55" s="14">
        <f>(IF(ISNUMBER(VLOOKUP("9.5",A2:N116,8,FALSE)),VLOOKUP("9.5",A2:N116,8,FALSE),0) + IF(ISNUMBER(VLOOKUP("9.5",A2:N116,9,FALSE)),VLOOKUP("9.5",A2:N116,9,FALSE),0) + IF(ISNUMBER(VLOOKUP("9.5",A2:N116,10,FALSE)),VLOOKUP("9.5",A2:N116,10,FALSE),0)) / 3</f>
        <v>0.10794226153699375</v>
      </c>
      <c r="L55" s="14">
        <f>(IF(ISNUMBER(VLOOKUP("9.5",A2:N116,9,FALSE)),VLOOKUP("9.5",A2:N116,9,FALSE),0) + IF(ISNUMBER(VLOOKUP("9.5",A2:N116,10,FALSE)),VLOOKUP("9.5",A2:N116,10,FALSE),0) + IF(ISNUMBER(VLOOKUP("9.5",A2:N116,11,FALSE)),VLOOKUP("9.5",A2:N116,11,FALSE),0)) / 3</f>
        <v>0.11125031451931477</v>
      </c>
      <c r="M55" s="14">
        <f>(IF(ISNUMBER(VLOOKUP("9.5",A2:N116,10,FALSE)),VLOOKUP("9.5",A2:N116,10,FALSE),0) + IF(ISNUMBER(VLOOKUP("9.5",A2:N116,11,FALSE)),VLOOKUP("9.5",A2:N116,11,FALSE),0) + IF(ISNUMBER(VLOOKUP("9.5",A2:N116,12,FALSE)),VLOOKUP("9.5",A2:N116,12,FALSE),0)) / 3</f>
        <v>0.11466771815349119</v>
      </c>
      <c r="N55" s="14">
        <f>(IF(ISNUMBER(VLOOKUP("9.5",A2:N116,11,FALSE)),VLOOKUP("9.5",A2:N116,11,FALSE),0) + IF(ISNUMBER(VLOOKUP("9.5",A2:N116,12,FALSE)),VLOOKUP("9.5",A2:N116,12,FALSE),0) + IF(ISNUMBER(VLOOKUP("9.5",A2:N116,13,FALSE)),VLOOKUP("9.5",A2:N116,13,FALSE),0)) / 3</f>
        <v>0.11541155878555222</v>
      </c>
    </row>
    <row r="56" spans="1:14" ht="78.599999999999994" customHeight="1" x14ac:dyDescent="0.25">
      <c r="A56" s="2" t="s">
        <v>118</v>
      </c>
      <c r="B56" s="3" t="s">
        <v>119</v>
      </c>
      <c r="C56" s="18" t="str">
        <f>IF(IF(ISNUMBER(VLOOKUP("9.4",A2:N116,3,FALSE)),VLOOKUP("9.4",A2:N116,3,FALSE),0) - IF(ISNUMBER(VLOOKUP("9.6",A2:N116,3,FALSE)),VLOOKUP("9.6",A2:N116,3,FALSE),0) &lt;= 0, "Tak", "Nie")</f>
        <v>Tak</v>
      </c>
      <c r="D56" s="18" t="str">
        <f>IF(IF(ISNUMBER(VLOOKUP("9.4",A2:N116,4,FALSE)),VLOOKUP("9.4",A2:N116,4,FALSE),0) - IF(ISNUMBER(VLOOKUP("9.6",A2:N116,4,FALSE)),VLOOKUP("9.6",A2:N116,4,FALSE),0) &lt;= 0, "Tak", "Nie")</f>
        <v>Tak</v>
      </c>
      <c r="E56" s="18" t="str">
        <f>IF(IF(ISNUMBER(VLOOKUP("9.4",A2:N116,5,FALSE)),VLOOKUP("9.4",A2:N116,5,FALSE),0) - IF(ISNUMBER(VLOOKUP("9.6",A2:N116,5,FALSE)),VLOOKUP("9.6",A2:N116,5,FALSE),0) &lt;= 0, "Tak", "Nie")</f>
        <v>Tak</v>
      </c>
      <c r="F56" s="18" t="str">
        <f>IF(IF(ISNUMBER(VLOOKUP("9.4",A2:N116,6,FALSE)),VLOOKUP("9.4",A2:N116,6,FALSE),0) - IF(ISNUMBER(VLOOKUP("9.6",A2:N116,6,FALSE)),VLOOKUP("9.6",A2:N116,6,FALSE),0) &lt;= 0, "Tak", "Nie")</f>
        <v>Tak</v>
      </c>
      <c r="G56" s="18" t="str">
        <f>IF(IF(ISNUMBER(VLOOKUP("9.4",A2:N116,7,FALSE)),VLOOKUP("9.4",A2:N116,7,FALSE),0) - IF(ISNUMBER(VLOOKUP("9.6",A2:N116,7,FALSE)),VLOOKUP("9.6",A2:N116,7,FALSE),0) &lt;= 0, "Tak", "Nie")</f>
        <v>Tak</v>
      </c>
      <c r="H56" s="19" t="str">
        <f>IF(IF(ISNUMBER(VLOOKUP("9.4",A2:N116,8,FALSE)),VLOOKUP("9.4",A2:N116,8,FALSE),0) - IF(ISNUMBER(VLOOKUP("9.6",A2:N116,8,FALSE)),VLOOKUP("9.6",A2:N116,8,FALSE),0) &lt;= 0, "Tak", "Nie")</f>
        <v>Nie</v>
      </c>
      <c r="I56" s="19" t="str">
        <f>IF(IF(ISNUMBER(VLOOKUP("9.4",A2:N116,9,FALSE)),VLOOKUP("9.4",A2:N116,9,FALSE),0) - IF(ISNUMBER(VLOOKUP("9.6",A2:N116,9,FALSE)),VLOOKUP("9.6",A2:N116,9,FALSE),0) &lt;= 0, "Tak", "Nie")</f>
        <v>Nie</v>
      </c>
      <c r="J56" s="19" t="str">
        <f>IF(IF(ISNUMBER(VLOOKUP("9.4",A2:N116,10,FALSE)),VLOOKUP("9.4",A2:N116,10,FALSE),0) - IF(ISNUMBER(VLOOKUP("9.6",A2:N116,10,FALSE)),VLOOKUP("9.6",A2:N116,10,FALSE),0) &lt;= 0, "Tak", "Nie")</f>
        <v>Nie</v>
      </c>
      <c r="K56" s="18" t="str">
        <f>IF(IF(ISNUMBER(VLOOKUP("9.4",A2:N116,11,FALSE)),VLOOKUP("9.4",A2:N116,11,FALSE),0) - IF(ISNUMBER(VLOOKUP("9.6",A2:N116,11,FALSE)),VLOOKUP("9.6",A2:N116,11,FALSE),0) &lt;= 0, "Tak", "Nie")</f>
        <v>Tak</v>
      </c>
      <c r="L56" s="18" t="str">
        <f>IF(IF(ISNUMBER(VLOOKUP("9.4",A2:N116,12,FALSE)),VLOOKUP("9.4",A2:N116,12,FALSE),0) - IF(ISNUMBER(VLOOKUP("9.6",A2:N116,12,FALSE)),VLOOKUP("9.6",A2:N116,12,FALSE),0) &lt;= 0, "Tak", "Nie")</f>
        <v>Tak</v>
      </c>
      <c r="M56" s="18" t="str">
        <f>IF(IF(ISNUMBER(VLOOKUP("9.4",A2:N116,13,FALSE)),VLOOKUP("9.4",A2:N116,13,FALSE),0) - IF(ISNUMBER(VLOOKUP("9.6",A2:N116,13,FALSE)),VLOOKUP("9.6",A2:N116,13,FALSE),0) &lt;= 0, "Tak", "Nie")</f>
        <v>Tak</v>
      </c>
      <c r="N56" s="18" t="str">
        <f>IF(IF(ISNUMBER(VLOOKUP("9.4",A2:N116,14,FALSE)),VLOOKUP("9.4",A2:N116,14,FALSE),0) - IF(ISNUMBER(VLOOKUP("9.6",A2:N116,14,FALSE)),VLOOKUP("9.6",A2:N116,14,FALSE),0) &lt;= 0, "Tak", "Nie")</f>
        <v>Tak</v>
      </c>
    </row>
    <row r="57" spans="1:14" ht="78.599999999999994" customHeight="1" x14ac:dyDescent="0.25">
      <c r="A57" s="5" t="s">
        <v>120</v>
      </c>
      <c r="B57" s="6" t="s">
        <v>121</v>
      </c>
      <c r="C57" s="20" t="str">
        <f>IF(IF(ISNUMBER(VLOOKUP("9.4",A2:N116,3,FALSE)),VLOOKUP("9.4",A2:N116,3,FALSE),0) - IF(ISNUMBER(VLOOKUP("9.6.1",A2:N116,3,FALSE)),VLOOKUP("9.6.1",A2:N116,3,FALSE),0) &lt;= 0, "Tak", "Nie")</f>
        <v>Tak</v>
      </c>
      <c r="D57" s="20" t="str">
        <f>IF(IF(ISNUMBER(VLOOKUP("9.4",A2:N116,4,FALSE)),VLOOKUP("9.4",A2:N116,4,FALSE),0) - IF(ISNUMBER(VLOOKUP("9.6.1",A2:N116,4,FALSE)),VLOOKUP("9.6.1",A2:N116,4,FALSE),0) &lt;= 0, "Tak", "Nie")</f>
        <v>Tak</v>
      </c>
      <c r="E57" s="20" t="str">
        <f>IF(IF(ISNUMBER(VLOOKUP("9.4",A2:N116,5,FALSE)),VLOOKUP("9.4",A2:N116,5,FALSE),0) - IF(ISNUMBER(VLOOKUP("9.6.1",A2:N116,5,FALSE)),VLOOKUP("9.6.1",A2:N116,5,FALSE),0) &lt;= 0, "Tak", "Nie")</f>
        <v>Tak</v>
      </c>
      <c r="F57" s="20" t="str">
        <f>IF(IF(ISNUMBER(VLOOKUP("9.4",A2:N116,6,FALSE)),VLOOKUP("9.4",A2:N116,6,FALSE),0) - IF(ISNUMBER(VLOOKUP("9.6.1",A2:N116,6,FALSE)),VLOOKUP("9.6.1",A2:N116,6,FALSE),0) &lt;= 0, "Tak", "Nie")</f>
        <v>Tak</v>
      </c>
      <c r="G57" s="20" t="str">
        <f>IF(IF(ISNUMBER(VLOOKUP("9.4",A2:N116,7,FALSE)),VLOOKUP("9.4",A2:N116,7,FALSE),0) - IF(ISNUMBER(VLOOKUP("9.6.1",A2:N116,7,FALSE)),VLOOKUP("9.6.1",A2:N116,7,FALSE),0) &lt;= 0, "Tak", "Nie")</f>
        <v>Tak</v>
      </c>
      <c r="H57" s="21" t="str">
        <f>IF(IF(ISNUMBER(VLOOKUP("9.4",A2:N116,8,FALSE)),VLOOKUP("9.4",A2:N116,8,FALSE),0) - IF(ISNUMBER(VLOOKUP("9.6.1",A2:N116,8,FALSE)),VLOOKUP("9.6.1",A2:N116,8,FALSE),0) &lt;= 0, "Tak", "Nie")</f>
        <v>Nie</v>
      </c>
      <c r="I57" s="21" t="str">
        <f>IF(IF(ISNUMBER(VLOOKUP("9.4",A2:N116,9,FALSE)),VLOOKUP("9.4",A2:N116,9,FALSE),0) - IF(ISNUMBER(VLOOKUP("9.6.1",A2:N116,9,FALSE)),VLOOKUP("9.6.1",A2:N116,9,FALSE),0) &lt;= 0, "Tak", "Nie")</f>
        <v>Nie</v>
      </c>
      <c r="J57" s="21" t="str">
        <f>IF(IF(ISNUMBER(VLOOKUP("9.4",A2:N116,10,FALSE)),VLOOKUP("9.4",A2:N116,10,FALSE),0) - IF(ISNUMBER(VLOOKUP("9.6.1",A2:N116,10,FALSE)),VLOOKUP("9.6.1",A2:N116,10,FALSE),0) &lt;= 0, "Tak", "Nie")</f>
        <v>Nie</v>
      </c>
      <c r="K57" s="20" t="str">
        <f>IF(IF(ISNUMBER(VLOOKUP("9.4",A2:N116,11,FALSE)),VLOOKUP("9.4",A2:N116,11,FALSE),0) - IF(ISNUMBER(VLOOKUP("9.6.1",A2:N116,11,FALSE)),VLOOKUP("9.6.1",A2:N116,11,FALSE),0) &lt;= 0, "Tak", "Nie")</f>
        <v>Tak</v>
      </c>
      <c r="L57" s="20" t="str">
        <f>IF(IF(ISNUMBER(VLOOKUP("9.4",A2:N116,12,FALSE)),VLOOKUP("9.4",A2:N116,12,FALSE),0) - IF(ISNUMBER(VLOOKUP("9.6.1",A2:N116,12,FALSE)),VLOOKUP("9.6.1",A2:N116,12,FALSE),0) &lt;= 0, "Tak", "Nie")</f>
        <v>Tak</v>
      </c>
      <c r="M57" s="20" t="str">
        <f>IF(IF(ISNUMBER(VLOOKUP("9.4",A2:N116,13,FALSE)),VLOOKUP("9.4",A2:N116,13,FALSE),0) - IF(ISNUMBER(VLOOKUP("9.6.1",A2:N116,13,FALSE)),VLOOKUP("9.6.1",A2:N116,13,FALSE),0) &lt;= 0, "Tak", "Nie")</f>
        <v>Tak</v>
      </c>
      <c r="N57" s="20" t="str">
        <f>IF(IF(ISNUMBER(VLOOKUP("9.4",A2:N116,14,FALSE)),VLOOKUP("9.4",A2:N116,14,FALSE),0) - IF(ISNUMBER(VLOOKUP("9.6.1",A2:N116,14,FALSE)),VLOOKUP("9.6.1",A2:N116,14,FALSE),0) &lt;= 0, "Tak", "Nie")</f>
        <v>Tak</v>
      </c>
    </row>
    <row r="58" spans="1:14" ht="27" customHeight="1" x14ac:dyDescent="0.25">
      <c r="A58" s="2" t="s">
        <v>122</v>
      </c>
      <c r="B58" s="3" t="s">
        <v>123</v>
      </c>
      <c r="C58" s="4">
        <f>IF(IF(ISNUMBER(VLOOKUP("3",A2:N116,3,FALSE)),VLOOKUP("3",A2:N116,3,FALSE),0)&gt;0,IF(ISNUMBER(VLOOKUP("3",A2:N116,3,FALSE)),VLOOKUP("3",A2:N116,3,FALSE),0),0)</f>
        <v>1148590.4199999981</v>
      </c>
      <c r="D58" s="4">
        <f>IF(IF(ISNUMBER(VLOOKUP("3",A2:N116,4,FALSE)),VLOOKUP("3",A2:N116,4,FALSE),0)&gt;0,IF(ISNUMBER(VLOOKUP("3",A2:N116,4,FALSE)),VLOOKUP("3",A2:N116,4,FALSE),0),0)</f>
        <v>1929204.450000003</v>
      </c>
      <c r="E58" s="4">
        <f>IF(IF(ISNUMBER(VLOOKUP("3",A2:N116,5,FALSE)),VLOOKUP("3",A2:N116,5,FALSE),0)&gt;0,IF(ISNUMBER(VLOOKUP("3",A2:N116,5,FALSE)),VLOOKUP("3",A2:N116,5,FALSE),0),0)</f>
        <v>1907676.9999999925</v>
      </c>
      <c r="F58" s="4">
        <f>IF(IF(ISNUMBER(VLOOKUP("3",A2:N116,6,FALSE)),VLOOKUP("3",A2:N116,6,FALSE),0)&gt;0,IF(ISNUMBER(VLOOKUP("3",A2:N116,6,FALSE)),VLOOKUP("3",A2:N116,6,FALSE),0),0)</f>
        <v>2190333.6699999981</v>
      </c>
      <c r="G58" s="4">
        <f>IF(IF(ISNUMBER(VLOOKUP("3",A2:N116,7,FALSE)),VLOOKUP("3",A2:N116,7,FALSE),0)&gt;0,IF(ISNUMBER(VLOOKUP("3",A2:N116,7,FALSE)),VLOOKUP("3",A2:N116,7,FALSE),0),0)</f>
        <v>0</v>
      </c>
      <c r="H58" s="4">
        <f>IF(IF(ISNUMBER(VLOOKUP("3",A2:N116,8,FALSE)),VLOOKUP("3",A2:N116,8,FALSE),0)&gt;0,IF(ISNUMBER(VLOOKUP("3",A2:N116,8,FALSE)),VLOOKUP("3",A2:N116,8,FALSE),0),0)</f>
        <v>1888582.9900000021</v>
      </c>
      <c r="I58" s="4">
        <f>IF(IF(ISNUMBER(VLOOKUP("3",A2:N116,9,FALSE)),VLOOKUP("3",A2:N116,9,FALSE),0)&gt;0,IF(ISNUMBER(VLOOKUP("3",A2:N116,9,FALSE)),VLOOKUP("3",A2:N116,9,FALSE),0),0)</f>
        <v>1810559.0700000003</v>
      </c>
      <c r="J58" s="4">
        <f>IF(IF(ISNUMBER(VLOOKUP("3",A2:N116,10,FALSE)),VLOOKUP("3",A2:N116,10,FALSE),0)&gt;0,IF(ISNUMBER(VLOOKUP("3",A2:N116,10,FALSE)),VLOOKUP("3",A2:N116,10,FALSE),0),0)</f>
        <v>2017500</v>
      </c>
      <c r="K58" s="4">
        <f>IF(IF(ISNUMBER(VLOOKUP("3",A2:N116,11,FALSE)),VLOOKUP("3",A2:N116,11,FALSE),0)&gt;0,IF(ISNUMBER(VLOOKUP("3",A2:N116,11,FALSE)),VLOOKUP("3",A2:N116,11,FALSE),0),0)</f>
        <v>2026679</v>
      </c>
      <c r="L58" s="4">
        <f>IF(IF(ISNUMBER(VLOOKUP("3",A2:N116,12,FALSE)),VLOOKUP("3",A2:N116,12,FALSE),0)&gt;0,IF(ISNUMBER(VLOOKUP("3",A2:N116,12,FALSE)),VLOOKUP("3",A2:N116,12,FALSE),0),0)</f>
        <v>1000000</v>
      </c>
      <c r="M58" s="4">
        <f>IF(IF(ISNUMBER(VLOOKUP("3",A2:N116,13,FALSE)),VLOOKUP("3",A2:N116,13,FALSE),0)&gt;0,IF(ISNUMBER(VLOOKUP("3",A2:N116,13,FALSE)),VLOOKUP("3",A2:N116,13,FALSE),0),0)</f>
        <v>1000000</v>
      </c>
      <c r="N58" s="4">
        <f>IF(IF(ISNUMBER(VLOOKUP("3",A2:N116,14,FALSE)),VLOOKUP("3",A2:N116,14,FALSE),0)&gt;0,IF(ISNUMBER(VLOOKUP("3",A2:N116,14,FALSE)),VLOOKUP("3",A2:N116,14,FALSE),0),0)</f>
        <v>1244000</v>
      </c>
    </row>
    <row r="59" spans="1:14" ht="27" customHeight="1" x14ac:dyDescent="0.25">
      <c r="A59" s="5" t="s">
        <v>124</v>
      </c>
      <c r="B59" s="6" t="s">
        <v>125</v>
      </c>
      <c r="C59" s="9">
        <f>IF(IF(ISNUMBER(VLOOKUP("3",A2:N116,3,FALSE)),VLOOKUP("3",A2:N116,3,FALSE),0)&gt;0,IF(IF(ISNUMBER(VLOOKUP("3",A2:N116,3,FALSE)),VLOOKUP("3",A2:N116,3,FALSE),0)&gt;IF(ISNUMBER(VLOOKUP("5.1",A2:N116,3,FALSE)),VLOOKUP("5.1",A2:N116,3,FALSE),0),IF(ISNUMBER(VLOOKUP("5.1",A2:N116,3,FALSE)),VLOOKUP("5.1",A2:N116,3,FALSE),0),IF(ISNUMBER(VLOOKUP("3",A2:N116,3,FALSE)),VLOOKUP("3",A2:N116,3,FALSE),0)),0)</f>
        <v>1148590.4199999981</v>
      </c>
      <c r="D59" s="9">
        <f>IF(IF(ISNUMBER(VLOOKUP("3",A2:N116,4,FALSE)),VLOOKUP("3",A2:N116,4,FALSE),0)&gt;0,IF(IF(ISNUMBER(VLOOKUP("3",A2:N116,4,FALSE)),VLOOKUP("3",A2:N116,4,FALSE),0)&gt;IF(ISNUMBER(VLOOKUP("5.1",A2:N116,4,FALSE)),VLOOKUP("5.1",A2:N116,4,FALSE),0),IF(ISNUMBER(VLOOKUP("5.1",A2:N116,4,FALSE)),VLOOKUP("5.1",A2:N116,4,FALSE),0),IF(ISNUMBER(VLOOKUP("3",A2:N116,4,FALSE)),VLOOKUP("3",A2:N116,4,FALSE),0)),0)</f>
        <v>1863172.49</v>
      </c>
      <c r="E59" s="9">
        <f>IF(IF(ISNUMBER(VLOOKUP("3",A2:N116,5,FALSE)),VLOOKUP("3",A2:N116,5,FALSE),0)&gt;0,IF(IF(ISNUMBER(VLOOKUP("3",A2:N116,5,FALSE)),VLOOKUP("3",A2:N116,5,FALSE),0)&gt;IF(ISNUMBER(VLOOKUP("5.1",A2:N116,5,FALSE)),VLOOKUP("5.1",A2:N116,5,FALSE),0),IF(ISNUMBER(VLOOKUP("5.1",A2:N116,5,FALSE)),VLOOKUP("5.1",A2:N116,5,FALSE),0),IF(ISNUMBER(VLOOKUP("3",A2:N116,5,FALSE)),VLOOKUP("3",A2:N116,5,FALSE),0)),0)</f>
        <v>1907676.9999999925</v>
      </c>
      <c r="F59" s="9">
        <f>IF(IF(ISNUMBER(VLOOKUP("3",A2:N116,6,FALSE)),VLOOKUP("3",A2:N116,6,FALSE),0)&gt;0,IF(IF(ISNUMBER(VLOOKUP("3",A2:N116,6,FALSE)),VLOOKUP("3",A2:N116,6,FALSE),0)&gt;IF(ISNUMBER(VLOOKUP("5.1",A2:N116,6,FALSE)),VLOOKUP("5.1",A2:N116,6,FALSE),0),IF(ISNUMBER(VLOOKUP("5.1",A2:N116,6,FALSE)),VLOOKUP("5.1",A2:N116,6,FALSE),0),IF(ISNUMBER(VLOOKUP("3",A2:N116,6,FALSE)),VLOOKUP("3",A2:N116,6,FALSE),0)),0)</f>
        <v>1847685.6</v>
      </c>
      <c r="G59" s="9">
        <f>IF(IF(ISNUMBER(VLOOKUP("3",A2:N116,7,FALSE)),VLOOKUP("3",A2:N116,7,FALSE),0)&gt;0,IF(IF(ISNUMBER(VLOOKUP("3",A2:N116,7,FALSE)),VLOOKUP("3",A2:N116,7,FALSE),0)&gt;IF(ISNUMBER(VLOOKUP("5.1",A2:N116,7,FALSE)),VLOOKUP("5.1",A2:N116,7,FALSE),0),IF(ISNUMBER(VLOOKUP("5.1",A2:N116,7,FALSE)),VLOOKUP("5.1",A2:N116,7,FALSE),0),IF(ISNUMBER(VLOOKUP("3",A2:N116,7,FALSE)),VLOOKUP("3",A2:N116,7,FALSE),0)),0)</f>
        <v>0</v>
      </c>
      <c r="H59" s="9">
        <f>IF(IF(ISNUMBER(VLOOKUP("3",A2:N116,8,FALSE)),VLOOKUP("3",A2:N116,8,FALSE),0)&gt;0,IF(IF(ISNUMBER(VLOOKUP("3",A2:N116,8,FALSE)),VLOOKUP("3",A2:N116,8,FALSE),0)&gt;IF(ISNUMBER(VLOOKUP("5.1",A2:N116,8,FALSE)),VLOOKUP("5.1",A2:N116,8,FALSE),0),IF(ISNUMBER(VLOOKUP("5.1",A2:N116,8,FALSE)),VLOOKUP("5.1",A2:N116,8,FALSE),0),IF(ISNUMBER(VLOOKUP("3",A2:N116,8,FALSE)),VLOOKUP("3",A2:N116,8,FALSE),0)),0)</f>
        <v>1888582.9900000021</v>
      </c>
      <c r="I59" s="9">
        <f>IF(IF(ISNUMBER(VLOOKUP("3",A2:N116,9,FALSE)),VLOOKUP("3",A2:N116,9,FALSE),0)&gt;0,IF(IF(ISNUMBER(VLOOKUP("3",A2:N116,9,FALSE)),VLOOKUP("3",A2:N116,9,FALSE),0)&gt;IF(ISNUMBER(VLOOKUP("5.1",A2:N116,9,FALSE)),VLOOKUP("5.1",A2:N116,9,FALSE),0),IF(ISNUMBER(VLOOKUP("5.1",A2:N116,9,FALSE)),VLOOKUP("5.1",A2:N116,9,FALSE),0),IF(ISNUMBER(VLOOKUP("3",A2:N116,9,FALSE)),VLOOKUP("3",A2:N116,9,FALSE),0)),0)</f>
        <v>1810559.0700000003</v>
      </c>
      <c r="J59" s="9">
        <f>IF(IF(ISNUMBER(VLOOKUP("3",A2:N116,10,FALSE)),VLOOKUP("3",A2:N116,10,FALSE),0)&gt;0,IF(IF(ISNUMBER(VLOOKUP("3",A2:N116,10,FALSE)),VLOOKUP("3",A2:N116,10,FALSE),0)&gt;IF(ISNUMBER(VLOOKUP("5.1",A2:N116,10,FALSE)),VLOOKUP("5.1",A2:N116,10,FALSE),0),IF(ISNUMBER(VLOOKUP("5.1",A2:N116,10,FALSE)),VLOOKUP("5.1",A2:N116,10,FALSE),0),IF(ISNUMBER(VLOOKUP("3",A2:N116,10,FALSE)),VLOOKUP("3",A2:N116,10,FALSE),0)),0)</f>
        <v>2017500</v>
      </c>
      <c r="K59" s="9">
        <f>IF(IF(ISNUMBER(VLOOKUP("3",A2:N116,11,FALSE)),VLOOKUP("3",A2:N116,11,FALSE),0)&gt;0,IF(IF(ISNUMBER(VLOOKUP("3",A2:N116,11,FALSE)),VLOOKUP("3",A2:N116,11,FALSE),0)&gt;IF(ISNUMBER(VLOOKUP("5.1",A2:N116,11,FALSE)),VLOOKUP("5.1",A2:N116,11,FALSE),0),IF(ISNUMBER(VLOOKUP("5.1",A2:N116,11,FALSE)),VLOOKUP("5.1",A2:N116,11,FALSE),0),IF(ISNUMBER(VLOOKUP("3",A2:N116,11,FALSE)),VLOOKUP("3",A2:N116,11,FALSE),0)),0)</f>
        <v>2026679</v>
      </c>
      <c r="L59" s="9">
        <f>IF(IF(ISNUMBER(VLOOKUP("3",A2:N116,12,FALSE)),VLOOKUP("3",A2:N116,12,FALSE),0)&gt;0,IF(IF(ISNUMBER(VLOOKUP("3",A2:N116,12,FALSE)),VLOOKUP("3",A2:N116,12,FALSE),0)&gt;IF(ISNUMBER(VLOOKUP("5.1",A2:N116,12,FALSE)),VLOOKUP("5.1",A2:N116,12,FALSE),0),IF(ISNUMBER(VLOOKUP("5.1",A2:N116,12,FALSE)),VLOOKUP("5.1",A2:N116,12,FALSE),0),IF(ISNUMBER(VLOOKUP("3",A2:N116,12,FALSE)),VLOOKUP("3",A2:N116,12,FALSE),0)),0)</f>
        <v>1000000</v>
      </c>
      <c r="M59" s="9">
        <f>IF(IF(ISNUMBER(VLOOKUP("3",A2:N116,13,FALSE)),VLOOKUP("3",A2:N116,13,FALSE),0)&gt;0,IF(IF(ISNUMBER(VLOOKUP("3",A2:N116,13,FALSE)),VLOOKUP("3",A2:N116,13,FALSE),0)&gt;IF(ISNUMBER(VLOOKUP("5.1",A2:N116,13,FALSE)),VLOOKUP("5.1",A2:N116,13,FALSE),0),IF(ISNUMBER(VLOOKUP("5.1",A2:N116,13,FALSE)),VLOOKUP("5.1",A2:N116,13,FALSE),0),IF(ISNUMBER(VLOOKUP("3",A2:N116,13,FALSE)),VLOOKUP("3",A2:N116,13,FALSE),0)),0)</f>
        <v>1000000</v>
      </c>
      <c r="N59" s="9">
        <f>IF(IF(ISNUMBER(VLOOKUP("3",A2:N116,14,FALSE)),VLOOKUP("3",A2:N116,14,FALSE),0)&gt;0,IF(IF(ISNUMBER(VLOOKUP("3",A2:N116,14,FALSE)),VLOOKUP("3",A2:N116,14,FALSE),0)&gt;IF(ISNUMBER(VLOOKUP("5.1",A2:N116,14,FALSE)),VLOOKUP("5.1",A2:N116,14,FALSE),0),IF(ISNUMBER(VLOOKUP("5.1",A2:N116,14,FALSE)),VLOOKUP("5.1",A2:N116,14,FALSE),0),IF(ISNUMBER(VLOOKUP("3",A2:N116,14,FALSE)),VLOOKUP("3",A2:N116,14,FALSE),0)),0)</f>
        <v>1244000</v>
      </c>
    </row>
    <row r="60" spans="1:14" ht="27" customHeight="1" x14ac:dyDescent="0.25">
      <c r="A60" s="2" t="s">
        <v>126</v>
      </c>
      <c r="B60" s="3" t="s">
        <v>127</v>
      </c>
      <c r="C60" s="27" t="s">
        <v>49</v>
      </c>
      <c r="D60" s="27" t="s">
        <v>49</v>
      </c>
      <c r="E60" s="27" t="s">
        <v>49</v>
      </c>
      <c r="F60" s="27" t="s">
        <v>49</v>
      </c>
      <c r="G60" s="27" t="s">
        <v>49</v>
      </c>
      <c r="H60" s="27" t="s">
        <v>49</v>
      </c>
      <c r="I60" s="27" t="s">
        <v>49</v>
      </c>
      <c r="J60" s="27" t="s">
        <v>49</v>
      </c>
      <c r="K60" s="27" t="s">
        <v>49</v>
      </c>
      <c r="L60" s="27" t="s">
        <v>49</v>
      </c>
      <c r="M60" s="27" t="s">
        <v>49</v>
      </c>
      <c r="N60" s="27" t="s">
        <v>49</v>
      </c>
    </row>
    <row r="61" spans="1:14" ht="27" customHeight="1" x14ac:dyDescent="0.25">
      <c r="A61" s="5" t="s">
        <v>128</v>
      </c>
      <c r="B61" s="6" t="s">
        <v>129</v>
      </c>
      <c r="C61" s="7">
        <v>9719338.4399999995</v>
      </c>
      <c r="D61" s="7">
        <v>10107074.970000001</v>
      </c>
      <c r="E61" s="7">
        <v>11789034.27</v>
      </c>
      <c r="F61" s="7">
        <v>11508622.99</v>
      </c>
      <c r="G61" s="8">
        <v>12404158.109999999</v>
      </c>
      <c r="H61" s="8">
        <v>11426000</v>
      </c>
      <c r="I61" s="8">
        <v>11615000</v>
      </c>
      <c r="J61" s="8">
        <v>11832000</v>
      </c>
      <c r="K61" s="8">
        <v>11980000</v>
      </c>
      <c r="L61" s="8">
        <v>12158000</v>
      </c>
      <c r="M61" s="8">
        <v>12338000</v>
      </c>
      <c r="N61" s="8">
        <v>12521000</v>
      </c>
    </row>
    <row r="62" spans="1:14" ht="27" customHeight="1" x14ac:dyDescent="0.25">
      <c r="A62" s="5" t="s">
        <v>130</v>
      </c>
      <c r="B62" s="6" t="s">
        <v>131</v>
      </c>
      <c r="C62" s="7">
        <v>5970049.7800000003</v>
      </c>
      <c r="D62" s="7">
        <v>3298962.65</v>
      </c>
      <c r="E62" s="7">
        <v>3054559</v>
      </c>
      <c r="F62" s="7">
        <v>3034546.19</v>
      </c>
      <c r="G62" s="8">
        <v>3220526</v>
      </c>
      <c r="H62" s="8">
        <v>3081000</v>
      </c>
      <c r="I62" s="8">
        <v>3075000</v>
      </c>
      <c r="J62" s="8">
        <v>3091000</v>
      </c>
      <c r="K62" s="8">
        <v>3138000</v>
      </c>
      <c r="L62" s="8">
        <v>3198000</v>
      </c>
      <c r="M62" s="8">
        <v>3239000</v>
      </c>
      <c r="N62" s="8">
        <v>3286000</v>
      </c>
    </row>
    <row r="63" spans="1:14" ht="27" customHeight="1" x14ac:dyDescent="0.25">
      <c r="A63" s="5" t="s">
        <v>132</v>
      </c>
      <c r="B63" s="6" t="s">
        <v>133</v>
      </c>
      <c r="C63" s="9">
        <f>IF(ISNUMBER(VLOOKUP("11.3.1",A2:N116,3,FALSE)),VLOOKUP("11.3.1",A2:N116,3,FALSE),0) + IF(ISNUMBER(VLOOKUP("11.3.2",A2:N116,3,FALSE)),VLOOKUP("11.3.2",A2:N116,3,FALSE),0)</f>
        <v>3806877</v>
      </c>
      <c r="D63" s="9">
        <f>IF(ISNUMBER(VLOOKUP("11.3.1",A2:N116,4,FALSE)),VLOOKUP("11.3.1",A2:N116,4,FALSE),0) + IF(ISNUMBER(VLOOKUP("11.3.2",A2:N116,4,FALSE)),VLOOKUP("11.3.2",A2:N116,4,FALSE),0)</f>
        <v>1067000</v>
      </c>
      <c r="E63" s="9">
        <f>IF(ISNUMBER(VLOOKUP("11.3.1",A2:N116,5,FALSE)),VLOOKUP("11.3.1",A2:N116,5,FALSE),0) + IF(ISNUMBER(VLOOKUP("11.3.2",A2:N116,5,FALSE)),VLOOKUP("11.3.2",A2:N116,5,FALSE),0)</f>
        <v>1369118</v>
      </c>
      <c r="F63" s="9">
        <f>IF(ISNUMBER(VLOOKUP("11.3.1",A2:N116,6,FALSE)),VLOOKUP("11.3.1",A2:N116,6,FALSE),0) + IF(ISNUMBER(VLOOKUP("11.3.2",A2:N116,6,FALSE)),VLOOKUP("11.3.2",A2:N116,6,FALSE),0)</f>
        <v>709011.04999999993</v>
      </c>
      <c r="G63" s="9">
        <f>IF(ISNUMBER(VLOOKUP("11.3.1",A2:N116,7,FALSE)),VLOOKUP("11.3.1",A2:N116,7,FALSE),0) + IF(ISNUMBER(VLOOKUP("11.3.2",A2:N116,7,FALSE)),VLOOKUP("11.3.2",A2:N116,7,FALSE),0)</f>
        <v>2181175</v>
      </c>
      <c r="H63" s="9">
        <f>IF(ISNUMBER(VLOOKUP("11.3.1",A2:N116,8,FALSE)),VLOOKUP("11.3.1",A2:N116,8,FALSE),0) + IF(ISNUMBER(VLOOKUP("11.3.2",A2:N116,8,FALSE)),VLOOKUP("11.3.2",A2:N116,8,FALSE),0)</f>
        <v>599389.75</v>
      </c>
      <c r="I63" s="9">
        <f>IF(ISNUMBER(VLOOKUP("11.3.1",A2:N116,9,FALSE)),VLOOKUP("11.3.1",A2:N116,9,FALSE),0) + IF(ISNUMBER(VLOOKUP("11.3.2",A2:N116,9,FALSE)),VLOOKUP("11.3.2",A2:N116,9,FALSE),0)</f>
        <v>402462</v>
      </c>
      <c r="J63" s="9">
        <f>IF(ISNUMBER(VLOOKUP("11.3.1",A2:N116,10,FALSE)),VLOOKUP("11.3.1",A2:N116,10,FALSE),0) + IF(ISNUMBER(VLOOKUP("11.3.2",A2:N116,10,FALSE)),VLOOKUP("11.3.2",A2:N116,10,FALSE),0)</f>
        <v>1073857</v>
      </c>
      <c r="K63" s="9">
        <f>IF(ISNUMBER(VLOOKUP("11.3.1",A2:N116,11,FALSE)),VLOOKUP("11.3.1",A2:N116,11,FALSE),0) + IF(ISNUMBER(VLOOKUP("11.3.2",A2:N116,11,FALSE)),VLOOKUP("11.3.2",A2:N116,11,FALSE),0)</f>
        <v>773375</v>
      </c>
      <c r="L63" s="9">
        <f>IF(ISNUMBER(VLOOKUP("11.3.1",A2:N116,12,FALSE)),VLOOKUP("11.3.1",A2:N116,12,FALSE),0) + IF(ISNUMBER(VLOOKUP("11.3.2",A2:N116,12,FALSE)),VLOOKUP("11.3.2",A2:N116,12,FALSE),0)</f>
        <v>373375</v>
      </c>
      <c r="M63" s="9">
        <f>IF(ISNUMBER(VLOOKUP("11.3.1",A2:N116,13,FALSE)),VLOOKUP("11.3.1",A2:N116,13,FALSE),0) + IF(ISNUMBER(VLOOKUP("11.3.2",A2:N116,13,FALSE)),VLOOKUP("11.3.2",A2:N116,13,FALSE),0)</f>
        <v>338983</v>
      </c>
      <c r="N63" s="9">
        <f>IF(ISNUMBER(VLOOKUP("11.3.1",A2:N116,14,FALSE)),VLOOKUP("11.3.1",A2:N116,14,FALSE),0) + IF(ISNUMBER(VLOOKUP("11.3.2",A2:N116,14,FALSE)),VLOOKUP("11.3.2",A2:N116,14,FALSE),0)</f>
        <v>415254</v>
      </c>
    </row>
    <row r="64" spans="1:14" ht="14.25" customHeight="1" x14ac:dyDescent="0.25">
      <c r="A64" s="5" t="s">
        <v>134</v>
      </c>
      <c r="B64" s="6" t="s">
        <v>135</v>
      </c>
      <c r="C64" s="9">
        <v>0</v>
      </c>
      <c r="D64" s="9">
        <v>0</v>
      </c>
      <c r="E64" s="9">
        <v>26676</v>
      </c>
      <c r="F64" s="9">
        <v>9499.6</v>
      </c>
      <c r="G64" s="9">
        <v>219643</v>
      </c>
      <c r="H64" s="9">
        <v>190658.75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</row>
    <row r="65" spans="1:14" ht="14.25" customHeight="1" x14ac:dyDescent="0.25">
      <c r="A65" s="5" t="s">
        <v>136</v>
      </c>
      <c r="B65" s="6" t="s">
        <v>137</v>
      </c>
      <c r="C65" s="9">
        <v>3806877</v>
      </c>
      <c r="D65" s="9">
        <v>1067000</v>
      </c>
      <c r="E65" s="9">
        <v>1342442</v>
      </c>
      <c r="F65" s="9">
        <v>699511.45</v>
      </c>
      <c r="G65" s="9">
        <v>1961532</v>
      </c>
      <c r="H65" s="9">
        <v>408731</v>
      </c>
      <c r="I65" s="9">
        <v>402462</v>
      </c>
      <c r="J65" s="9">
        <v>1073857</v>
      </c>
      <c r="K65" s="9">
        <v>773375</v>
      </c>
      <c r="L65" s="9">
        <v>373375</v>
      </c>
      <c r="M65" s="9">
        <v>338983</v>
      </c>
      <c r="N65" s="9">
        <v>415254</v>
      </c>
    </row>
    <row r="66" spans="1:14" ht="14.25" customHeight="1" x14ac:dyDescent="0.25">
      <c r="A66" s="5" t="s">
        <v>138</v>
      </c>
      <c r="B66" s="6" t="s">
        <v>139</v>
      </c>
      <c r="C66" s="9">
        <v>0</v>
      </c>
      <c r="D66" s="9">
        <v>0</v>
      </c>
      <c r="E66" s="9">
        <v>1022000</v>
      </c>
      <c r="F66" s="9">
        <v>0</v>
      </c>
      <c r="G66" s="9">
        <v>1911532</v>
      </c>
      <c r="H66" s="9">
        <v>408731</v>
      </c>
      <c r="I66" s="9">
        <v>402462</v>
      </c>
      <c r="J66" s="9">
        <v>1073857</v>
      </c>
      <c r="K66" s="9">
        <v>773375</v>
      </c>
      <c r="L66" s="9">
        <v>373375</v>
      </c>
      <c r="M66" s="9">
        <v>338983</v>
      </c>
      <c r="N66" s="9">
        <v>415254</v>
      </c>
    </row>
    <row r="67" spans="1:14" ht="14.25" customHeight="1" x14ac:dyDescent="0.25">
      <c r="A67" s="5" t="s">
        <v>140</v>
      </c>
      <c r="B67" s="6" t="s">
        <v>141</v>
      </c>
      <c r="C67" s="7">
        <v>4127019.15</v>
      </c>
      <c r="D67" s="7">
        <v>1710824.86</v>
      </c>
      <c r="E67" s="7">
        <v>320442</v>
      </c>
      <c r="F67" s="7">
        <v>767581.12</v>
      </c>
      <c r="G67" s="8">
        <v>411500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4.25" customHeight="1" x14ac:dyDescent="0.25">
      <c r="A68" s="5" t="s">
        <v>142</v>
      </c>
      <c r="B68" s="6" t="s">
        <v>143</v>
      </c>
      <c r="C68" s="7">
        <v>513000</v>
      </c>
      <c r="D68" s="7">
        <v>58000</v>
      </c>
      <c r="E68" s="7">
        <v>320442</v>
      </c>
      <c r="F68" s="7">
        <v>72790.679999999993</v>
      </c>
      <c r="G68" s="8">
        <v>48000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</row>
    <row r="69" spans="1:14" hidden="1" x14ac:dyDescent="0.25">
      <c r="A69" s="5" t="s">
        <v>144</v>
      </c>
      <c r="B69" s="6" t="s">
        <v>31</v>
      </c>
      <c r="C69" s="7">
        <v>0</v>
      </c>
      <c r="D69" s="7">
        <v>0</v>
      </c>
      <c r="E69" s="7">
        <v>-46608.639999999999</v>
      </c>
      <c r="F69" s="7">
        <v>0</v>
      </c>
      <c r="G69" s="8">
        <v>0</v>
      </c>
      <c r="H69" s="8">
        <v>1512864.01</v>
      </c>
      <c r="I69" s="8">
        <v>1829615.93</v>
      </c>
      <c r="J69" s="8">
        <v>1069161</v>
      </c>
      <c r="K69" s="8">
        <v>1612915</v>
      </c>
      <c r="L69" s="8">
        <v>3283564</v>
      </c>
      <c r="M69" s="8">
        <v>3098233</v>
      </c>
      <c r="N69" s="8">
        <v>2745452</v>
      </c>
    </row>
    <row r="70" spans="1:14" ht="39.950000000000003" customHeight="1" x14ac:dyDescent="0.25">
      <c r="A70" s="2" t="s">
        <v>145</v>
      </c>
      <c r="B70" s="3" t="s">
        <v>146</v>
      </c>
      <c r="C70" s="27" t="s">
        <v>49</v>
      </c>
      <c r="D70" s="27" t="s">
        <v>49</v>
      </c>
      <c r="E70" s="27" t="s">
        <v>49</v>
      </c>
      <c r="F70" s="27" t="s">
        <v>49</v>
      </c>
      <c r="G70" s="27" t="s">
        <v>49</v>
      </c>
      <c r="H70" s="27" t="s">
        <v>49</v>
      </c>
      <c r="I70" s="27" t="s">
        <v>49</v>
      </c>
      <c r="J70" s="27" t="s">
        <v>49</v>
      </c>
      <c r="K70" s="27" t="s">
        <v>49</v>
      </c>
      <c r="L70" s="27" t="s">
        <v>49</v>
      </c>
      <c r="M70" s="27" t="s">
        <v>49</v>
      </c>
      <c r="N70" s="27" t="s">
        <v>49</v>
      </c>
    </row>
    <row r="71" spans="1:14" ht="39.950000000000003" customHeight="1" x14ac:dyDescent="0.25">
      <c r="A71" s="5" t="s">
        <v>147</v>
      </c>
      <c r="B71" s="6" t="s">
        <v>148</v>
      </c>
      <c r="C71" s="7">
        <v>0</v>
      </c>
      <c r="D71" s="7">
        <v>0</v>
      </c>
      <c r="E71" s="7">
        <v>20808</v>
      </c>
      <c r="F71" s="7">
        <v>10000</v>
      </c>
      <c r="G71" s="8">
        <v>188843</v>
      </c>
      <c r="H71" s="8">
        <v>160658.75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ht="14.25" customHeight="1" x14ac:dyDescent="0.25">
      <c r="A72" s="5" t="s">
        <v>149</v>
      </c>
      <c r="B72" s="6" t="s">
        <v>150</v>
      </c>
      <c r="C72" s="7">
        <v>0</v>
      </c>
      <c r="D72" s="7">
        <v>0</v>
      </c>
      <c r="E72" s="7">
        <v>20808</v>
      </c>
      <c r="F72" s="7">
        <v>10000</v>
      </c>
      <c r="G72" s="8">
        <v>188843</v>
      </c>
      <c r="H72" s="8">
        <v>160658.75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ht="39.950000000000003" customHeight="1" x14ac:dyDescent="0.25">
      <c r="A73" s="5" t="s">
        <v>151</v>
      </c>
      <c r="B73" s="6" t="s">
        <v>152</v>
      </c>
      <c r="C73" s="7">
        <v>0</v>
      </c>
      <c r="D73" s="7">
        <v>0</v>
      </c>
      <c r="E73" s="7">
        <v>0</v>
      </c>
      <c r="F73" s="7">
        <v>0</v>
      </c>
      <c r="G73" s="8">
        <v>188843</v>
      </c>
      <c r="H73" s="8">
        <v>160658.75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</row>
    <row r="74" spans="1:14" ht="39.950000000000003" customHeight="1" x14ac:dyDescent="0.25">
      <c r="A74" s="5" t="s">
        <v>153</v>
      </c>
      <c r="B74" s="6" t="s">
        <v>154</v>
      </c>
      <c r="C74" s="7">
        <v>2076040.94</v>
      </c>
      <c r="D74" s="7">
        <v>0</v>
      </c>
      <c r="E74" s="7">
        <v>112710</v>
      </c>
      <c r="F74" s="7">
        <v>0</v>
      </c>
      <c r="G74" s="8">
        <v>515064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</row>
    <row r="75" spans="1:14" ht="14.25" customHeight="1" x14ac:dyDescent="0.25">
      <c r="A75" s="5" t="s">
        <v>155</v>
      </c>
      <c r="B75" s="6" t="s">
        <v>150</v>
      </c>
      <c r="C75" s="7">
        <v>2076040.94</v>
      </c>
      <c r="D75" s="7">
        <v>0</v>
      </c>
      <c r="E75" s="7">
        <v>112710</v>
      </c>
      <c r="F75" s="7">
        <v>0</v>
      </c>
      <c r="G75" s="8">
        <v>515064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  <row r="76" spans="1:14" ht="39.950000000000003" customHeight="1" x14ac:dyDescent="0.25">
      <c r="A76" s="5" t="s">
        <v>156</v>
      </c>
      <c r="B76" s="6" t="s">
        <v>157</v>
      </c>
      <c r="C76" s="7">
        <v>0</v>
      </c>
      <c r="D76" s="7">
        <v>0</v>
      </c>
      <c r="E76" s="7">
        <v>0</v>
      </c>
      <c r="F76" s="7">
        <v>0</v>
      </c>
      <c r="G76" s="8">
        <v>515064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</row>
    <row r="77" spans="1:14" ht="39.950000000000003" customHeight="1" x14ac:dyDescent="0.25">
      <c r="A77" s="5" t="s">
        <v>158</v>
      </c>
      <c r="B77" s="6" t="s">
        <v>159</v>
      </c>
      <c r="C77" s="7">
        <v>0</v>
      </c>
      <c r="D77" s="7">
        <v>0</v>
      </c>
      <c r="E77" s="7">
        <v>26676</v>
      </c>
      <c r="F77" s="7">
        <v>9499.6</v>
      </c>
      <c r="G77" s="8">
        <v>221615</v>
      </c>
      <c r="H77" s="8">
        <v>190658.75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</row>
    <row r="78" spans="1:14" ht="27" customHeight="1" x14ac:dyDescent="0.25">
      <c r="A78" s="5" t="s">
        <v>160</v>
      </c>
      <c r="B78" s="6" t="s">
        <v>161</v>
      </c>
      <c r="C78" s="7">
        <v>0</v>
      </c>
      <c r="D78" s="7">
        <v>0</v>
      </c>
      <c r="E78" s="7">
        <v>26676</v>
      </c>
      <c r="F78" s="7">
        <v>9499.6</v>
      </c>
      <c r="G78" s="8">
        <v>188843</v>
      </c>
      <c r="H78" s="8">
        <v>190658.75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</row>
    <row r="79" spans="1:14" ht="52.9" customHeight="1" x14ac:dyDescent="0.25">
      <c r="A79" s="5" t="s">
        <v>162</v>
      </c>
      <c r="B79" s="6" t="s">
        <v>163</v>
      </c>
      <c r="C79" s="7">
        <v>0</v>
      </c>
      <c r="D79" s="7">
        <v>0</v>
      </c>
      <c r="E79" s="7">
        <v>0</v>
      </c>
      <c r="F79" s="7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</row>
    <row r="80" spans="1:14" ht="39.950000000000003" customHeight="1" x14ac:dyDescent="0.25">
      <c r="A80" s="5" t="s">
        <v>164</v>
      </c>
      <c r="B80" s="6" t="s">
        <v>165</v>
      </c>
      <c r="C80" s="7">
        <v>3857459.35</v>
      </c>
      <c r="D80" s="7">
        <v>0</v>
      </c>
      <c r="E80" s="7">
        <v>320442</v>
      </c>
      <c r="F80" s="7">
        <v>0</v>
      </c>
      <c r="G80" s="8">
        <v>1002532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</row>
    <row r="81" spans="1:14" ht="27" customHeight="1" x14ac:dyDescent="0.25">
      <c r="A81" s="5" t="s">
        <v>166</v>
      </c>
      <c r="B81" s="6" t="s">
        <v>161</v>
      </c>
      <c r="C81" s="7">
        <v>2462530.83</v>
      </c>
      <c r="D81" s="7">
        <v>0</v>
      </c>
      <c r="E81" s="7">
        <v>320442</v>
      </c>
      <c r="F81" s="7">
        <v>0</v>
      </c>
      <c r="G81" s="8">
        <v>515064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</row>
    <row r="82" spans="1:14" ht="52.9" customHeight="1" x14ac:dyDescent="0.25">
      <c r="A82" s="5" t="s">
        <v>167</v>
      </c>
      <c r="B82" s="6" t="s">
        <v>168</v>
      </c>
      <c r="C82" s="7">
        <v>0</v>
      </c>
      <c r="D82" s="7">
        <v>0</v>
      </c>
      <c r="E82" s="7">
        <v>0</v>
      </c>
      <c r="F82" s="7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</row>
    <row r="83" spans="1:14" ht="65.650000000000006" customHeight="1" x14ac:dyDescent="0.25">
      <c r="A83" s="5" t="s">
        <v>169</v>
      </c>
      <c r="B83" s="6" t="s">
        <v>170</v>
      </c>
      <c r="C83" s="9">
        <f>(IF(ISNUMBER(VLOOKUP("12.3",A2:N116,3,FALSE)),VLOOKUP("12.3",A2:N116,3,FALSE),0)+IF(ISNUMBER(VLOOKUP("12.4",A2:N116,3,FALSE)),VLOOKUP("12.4",A2:N116,3,FALSE),0))-(IF(ISNUMBER(VLOOKUP("12.3.1",A2:N116,3,FALSE)),VLOOKUP("12.3.1",A2:N116,3,FALSE),0)+IF(ISNUMBER(VLOOKUP("12.4.1",A2:N116,3,FALSE)),VLOOKUP("12.4.1",A2:N116,3,FALSE),0))</f>
        <v>1394928.52</v>
      </c>
      <c r="D83" s="9">
        <f>(IF(ISNUMBER(VLOOKUP("12.3",A2:N116,4,FALSE)),VLOOKUP("12.3",A2:N116,4,FALSE),0)+IF(ISNUMBER(VLOOKUP("12.4",A2:N116,4,FALSE)),VLOOKUP("12.4",A2:N116,4,FALSE),0))-(IF(ISNUMBER(VLOOKUP("12.3.1",A2:N116,4,FALSE)),VLOOKUP("12.3.1",A2:N116,4,FALSE),0)+IF(ISNUMBER(VLOOKUP("12.4.1",A2:N116,4,FALSE)),VLOOKUP("12.4.1",A2:N116,4,FALSE),0))</f>
        <v>0</v>
      </c>
      <c r="E83" s="9">
        <f>(IF(ISNUMBER(VLOOKUP("12.3",A2:N116,5,FALSE)),VLOOKUP("12.3",A2:N116,5,FALSE),0)+IF(ISNUMBER(VLOOKUP("12.4",A2:N116,5,FALSE)),VLOOKUP("12.4",A2:N116,5,FALSE),0))-(IF(ISNUMBER(VLOOKUP("12.3.1",A2:N116,5,FALSE)),VLOOKUP("12.3.1",A2:N116,5,FALSE),0)+IF(ISNUMBER(VLOOKUP("12.4.1",A2:N116,5,FALSE)),VLOOKUP("12.4.1",A2:N116,5,FALSE),0))</f>
        <v>0</v>
      </c>
      <c r="F83" s="9">
        <f>(IF(ISNUMBER(VLOOKUP("12.3",A2:N116,6,FALSE)),VLOOKUP("12.3",A2:N116,6,FALSE),0)+IF(ISNUMBER(VLOOKUP("12.4",A2:N116,6,FALSE)),VLOOKUP("12.4",A2:N116,6,FALSE),0))-(IF(ISNUMBER(VLOOKUP("12.3.1",A2:N116,6,FALSE)),VLOOKUP("12.3.1",A2:N116,6,FALSE),0)+IF(ISNUMBER(VLOOKUP("12.4.1",A2:N116,6,FALSE)),VLOOKUP("12.4.1",A2:N116,6,FALSE),0))</f>
        <v>0</v>
      </c>
      <c r="G83" s="9">
        <f>(IF(ISNUMBER(VLOOKUP("12.3",A2:N116,7,FALSE)),VLOOKUP("12.3",A2:N116,7,FALSE),0)+IF(ISNUMBER(VLOOKUP("12.4",A2:N116,7,FALSE)),VLOOKUP("12.4",A2:N116,7,FALSE),0))-(IF(ISNUMBER(VLOOKUP("12.3.1",A2:N116,7,FALSE)),VLOOKUP("12.3.1",A2:N116,7,FALSE),0)+IF(ISNUMBER(VLOOKUP("12.4.1",A2:N116,7,FALSE)),VLOOKUP("12.4.1",A2:N116,7,FALSE),0))</f>
        <v>520240</v>
      </c>
      <c r="H83" s="9">
        <f>(IF(ISNUMBER(VLOOKUP("12.3",A2:N116,8,FALSE)),VLOOKUP("12.3",A2:N116,8,FALSE),0)+IF(ISNUMBER(VLOOKUP("12.4",A2:N116,8,FALSE)),VLOOKUP("12.4",A2:N116,8,FALSE),0))-(IF(ISNUMBER(VLOOKUP("12.3.1",A2:N116,8,FALSE)),VLOOKUP("12.3.1",A2:N116,8,FALSE),0)+IF(ISNUMBER(VLOOKUP("12.4.1",A2:N116,8,FALSE)),VLOOKUP("12.4.1",A2:N116,8,FALSE),0))</f>
        <v>0</v>
      </c>
      <c r="I83" s="9">
        <f>(IF(ISNUMBER(VLOOKUP("12.3",A2:N116,9,FALSE)),VLOOKUP("12.3",A2:N116,9,FALSE),0)+IF(ISNUMBER(VLOOKUP("12.4",A2:N116,9,FALSE)),VLOOKUP("12.4",A2:N116,9,FALSE),0))-(IF(ISNUMBER(VLOOKUP("12.3.1",A2:N116,9,FALSE)),VLOOKUP("12.3.1",A2:N116,9,FALSE),0)+IF(ISNUMBER(VLOOKUP("12.4.1",A2:N116,9,FALSE)),VLOOKUP("12.4.1",A2:N116,9,FALSE),0))</f>
        <v>0</v>
      </c>
      <c r="J83" s="9">
        <f>(IF(ISNUMBER(VLOOKUP("12.3",A2:N116,10,FALSE)),VLOOKUP("12.3",A2:N116,10,FALSE),0)+IF(ISNUMBER(VLOOKUP("12.4",A2:N116,10,FALSE)),VLOOKUP("12.4",A2:N116,10,FALSE),0))-(IF(ISNUMBER(VLOOKUP("12.3.1",A2:N116,10,FALSE)),VLOOKUP("12.3.1",A2:N116,10,FALSE),0)+IF(ISNUMBER(VLOOKUP("12.4.1",A2:N116,10,FALSE)),VLOOKUP("12.4.1",A2:N116,10,FALSE),0))</f>
        <v>0</v>
      </c>
      <c r="K83" s="9">
        <f>(IF(ISNUMBER(VLOOKUP("12.3",A2:N116,11,FALSE)),VLOOKUP("12.3",A2:N116,11,FALSE),0)+IF(ISNUMBER(VLOOKUP("12.4",A2:N116,11,FALSE)),VLOOKUP("12.4",A2:N116,11,FALSE),0))-(IF(ISNUMBER(VLOOKUP("12.3.1",A2:N116,11,FALSE)),VLOOKUP("12.3.1",A2:N116,11,FALSE),0)+IF(ISNUMBER(VLOOKUP("12.4.1",A2:N116,11,FALSE)),VLOOKUP("12.4.1",A2:N116,11,FALSE),0))</f>
        <v>0</v>
      </c>
      <c r="L83" s="9">
        <f>(IF(ISNUMBER(VLOOKUP("12.3",A2:N116,12,FALSE)),VLOOKUP("12.3",A2:N116,12,FALSE),0)+IF(ISNUMBER(VLOOKUP("12.4",A2:N116,12,FALSE)),VLOOKUP("12.4",A2:N116,12,FALSE),0))-(IF(ISNUMBER(VLOOKUP("12.3.1",A2:N116,12,FALSE)),VLOOKUP("12.3.1",A2:N116,12,FALSE),0)+IF(ISNUMBER(VLOOKUP("12.4.1",A2:N116,12,FALSE)),VLOOKUP("12.4.1",A2:N116,12,FALSE),0))</f>
        <v>0</v>
      </c>
      <c r="M83" s="9">
        <f>(IF(ISNUMBER(VLOOKUP("12.3",A2:N116,13,FALSE)),VLOOKUP("12.3",A2:N116,13,FALSE),0)+IF(ISNUMBER(VLOOKUP("12.4",A2:N116,13,FALSE)),VLOOKUP("12.4",A2:N116,13,FALSE),0))-(IF(ISNUMBER(VLOOKUP("12.3.1",A2:N116,13,FALSE)),VLOOKUP("12.3.1",A2:N116,13,FALSE),0)+IF(ISNUMBER(VLOOKUP("12.4.1",A2:N116,13,FALSE)),VLOOKUP("12.4.1",A2:N116,13,FALSE),0))</f>
        <v>0</v>
      </c>
      <c r="N83" s="9">
        <f>(IF(ISNUMBER(VLOOKUP("12.3",A2:N116,14,FALSE)),VLOOKUP("12.3",A2:N116,14,FALSE),0)+IF(ISNUMBER(VLOOKUP("12.4",A2:N116,14,FALSE)),VLOOKUP("12.4",A2:N116,14,FALSE),0))-(IF(ISNUMBER(VLOOKUP("12.3.1",A2:N116,14,FALSE)),VLOOKUP("12.3.1",A2:N116,14,FALSE),0)+IF(ISNUMBER(VLOOKUP("12.4.1",A2:N116,14,FALSE)),VLOOKUP("12.4.1",A2:N116,14,FALSE),0))</f>
        <v>0</v>
      </c>
    </row>
    <row r="84" spans="1:14" ht="27" customHeight="1" x14ac:dyDescent="0.25">
      <c r="A84" s="5" t="s">
        <v>171</v>
      </c>
      <c r="B84" s="6" t="s">
        <v>172</v>
      </c>
      <c r="C84" s="7">
        <v>0</v>
      </c>
      <c r="D84" s="7">
        <v>0</v>
      </c>
      <c r="E84" s="7">
        <v>0</v>
      </c>
      <c r="F84" s="7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</row>
    <row r="85" spans="1:14" ht="52.9" customHeight="1" x14ac:dyDescent="0.25">
      <c r="A85" s="5" t="s">
        <v>173</v>
      </c>
      <c r="B85" s="6" t="s">
        <v>174</v>
      </c>
      <c r="C85" s="7">
        <v>0</v>
      </c>
      <c r="D85" s="7">
        <v>0</v>
      </c>
      <c r="E85" s="7">
        <v>0</v>
      </c>
      <c r="F85" s="7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</row>
    <row r="86" spans="1:14" ht="27" customHeight="1" x14ac:dyDescent="0.25">
      <c r="A86" s="5" t="s">
        <v>175</v>
      </c>
      <c r="B86" s="6" t="s">
        <v>172</v>
      </c>
      <c r="C86" s="7">
        <v>0</v>
      </c>
      <c r="D86" s="7">
        <v>0</v>
      </c>
      <c r="E86" s="7">
        <v>0</v>
      </c>
      <c r="F86" s="7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</row>
    <row r="87" spans="1:14" ht="78.599999999999994" customHeight="1" x14ac:dyDescent="0.25">
      <c r="A87" s="5" t="s">
        <v>176</v>
      </c>
      <c r="B87" s="6" t="s">
        <v>177</v>
      </c>
      <c r="C87" s="7">
        <v>641000</v>
      </c>
      <c r="D87" s="7">
        <v>0</v>
      </c>
      <c r="E87" s="7">
        <v>0</v>
      </c>
      <c r="F87" s="7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</row>
    <row r="88" spans="1:14" ht="27" customHeight="1" x14ac:dyDescent="0.25">
      <c r="A88" s="5" t="s">
        <v>178</v>
      </c>
      <c r="B88" s="6" t="s">
        <v>172</v>
      </c>
      <c r="C88" s="7">
        <v>0</v>
      </c>
      <c r="D88" s="7">
        <v>0</v>
      </c>
      <c r="E88" s="7">
        <v>0</v>
      </c>
      <c r="F88" s="7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</row>
    <row r="89" spans="1:14" ht="65.650000000000006" customHeight="1" x14ac:dyDescent="0.25">
      <c r="A89" s="5" t="s">
        <v>179</v>
      </c>
      <c r="B89" s="6" t="s">
        <v>180</v>
      </c>
      <c r="C89" s="7">
        <v>0</v>
      </c>
      <c r="D89" s="7">
        <v>0</v>
      </c>
      <c r="E89" s="7">
        <v>0</v>
      </c>
      <c r="F89" s="7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</row>
    <row r="90" spans="1:14" ht="27" customHeight="1" x14ac:dyDescent="0.25">
      <c r="A90" s="5" t="s">
        <v>181</v>
      </c>
      <c r="B90" s="6" t="s">
        <v>172</v>
      </c>
      <c r="C90" s="7">
        <v>0</v>
      </c>
      <c r="D90" s="7">
        <v>0</v>
      </c>
      <c r="E90" s="7">
        <v>0</v>
      </c>
      <c r="F90" s="7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</row>
    <row r="91" spans="1:14" ht="39.950000000000003" customHeight="1" x14ac:dyDescent="0.25">
      <c r="A91" s="2" t="s">
        <v>182</v>
      </c>
      <c r="B91" s="3" t="s">
        <v>183</v>
      </c>
      <c r="C91" s="27" t="s">
        <v>49</v>
      </c>
      <c r="D91" s="27" t="s">
        <v>49</v>
      </c>
      <c r="E91" s="27" t="s">
        <v>49</v>
      </c>
      <c r="F91" s="27" t="s">
        <v>49</v>
      </c>
      <c r="G91" s="27" t="s">
        <v>49</v>
      </c>
      <c r="H91" s="27" t="s">
        <v>49</v>
      </c>
      <c r="I91" s="27" t="s">
        <v>49</v>
      </c>
      <c r="J91" s="27" t="s">
        <v>49</v>
      </c>
      <c r="K91" s="27" t="s">
        <v>49</v>
      </c>
      <c r="L91" s="27" t="s">
        <v>49</v>
      </c>
      <c r="M91" s="27" t="s">
        <v>49</v>
      </c>
      <c r="N91" s="27" t="s">
        <v>49</v>
      </c>
    </row>
    <row r="92" spans="1:14" ht="52.9" customHeight="1" x14ac:dyDescent="0.25">
      <c r="A92" s="5" t="s">
        <v>184</v>
      </c>
      <c r="B92" s="6" t="s">
        <v>185</v>
      </c>
      <c r="C92" s="7">
        <v>0</v>
      </c>
      <c r="D92" s="7">
        <v>0</v>
      </c>
      <c r="E92" s="7">
        <v>0</v>
      </c>
      <c r="F92" s="7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</row>
    <row r="93" spans="1:14" ht="52.9" customHeight="1" x14ac:dyDescent="0.25">
      <c r="A93" s="5" t="s">
        <v>186</v>
      </c>
      <c r="B93" s="6" t="s">
        <v>187</v>
      </c>
      <c r="C93" s="7">
        <v>0</v>
      </c>
      <c r="D93" s="7">
        <v>0</v>
      </c>
      <c r="E93" s="7">
        <v>0</v>
      </c>
      <c r="F93" s="7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</row>
    <row r="94" spans="1:14" ht="27" customHeight="1" x14ac:dyDescent="0.25">
      <c r="A94" s="5" t="s">
        <v>188</v>
      </c>
      <c r="B94" s="6" t="s">
        <v>189</v>
      </c>
      <c r="C94" s="7">
        <v>0</v>
      </c>
      <c r="D94" s="7">
        <v>0</v>
      </c>
      <c r="E94" s="7">
        <v>0</v>
      </c>
      <c r="F94" s="7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</row>
    <row r="95" spans="1:14" ht="52.9" customHeight="1" x14ac:dyDescent="0.25">
      <c r="A95" s="5" t="s">
        <v>190</v>
      </c>
      <c r="B95" s="6" t="s">
        <v>191</v>
      </c>
      <c r="C95" s="7">
        <v>0</v>
      </c>
      <c r="D95" s="7">
        <v>0</v>
      </c>
      <c r="E95" s="7">
        <v>0</v>
      </c>
      <c r="F95" s="7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</row>
    <row r="96" spans="1:14" ht="52.9" customHeight="1" x14ac:dyDescent="0.25">
      <c r="A96" s="5" t="s">
        <v>192</v>
      </c>
      <c r="B96" s="6" t="s">
        <v>193</v>
      </c>
      <c r="C96" s="7">
        <v>0</v>
      </c>
      <c r="D96" s="7">
        <v>0</v>
      </c>
      <c r="E96" s="7">
        <v>0</v>
      </c>
      <c r="F96" s="7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</row>
    <row r="97" spans="1:14" ht="39.950000000000003" customHeight="1" x14ac:dyDescent="0.25">
      <c r="A97" s="5" t="s">
        <v>194</v>
      </c>
      <c r="B97" s="6" t="s">
        <v>195</v>
      </c>
      <c r="C97" s="7">
        <v>0</v>
      </c>
      <c r="D97" s="7">
        <v>0</v>
      </c>
      <c r="E97" s="7">
        <v>0</v>
      </c>
      <c r="F97" s="7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</row>
    <row r="98" spans="1:14" ht="39.950000000000003" customHeight="1" x14ac:dyDescent="0.25">
      <c r="A98" s="5" t="s">
        <v>196</v>
      </c>
      <c r="B98" s="6" t="s">
        <v>197</v>
      </c>
      <c r="C98" s="7">
        <v>0</v>
      </c>
      <c r="D98" s="7">
        <v>0</v>
      </c>
      <c r="E98" s="7">
        <v>0</v>
      </c>
      <c r="F98" s="7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</row>
    <row r="99" spans="1:14" ht="14.25" customHeight="1" x14ac:dyDescent="0.25">
      <c r="A99" s="2" t="s">
        <v>198</v>
      </c>
      <c r="B99" s="3" t="s">
        <v>199</v>
      </c>
      <c r="C99" s="27" t="s">
        <v>49</v>
      </c>
      <c r="D99" s="27" t="s">
        <v>49</v>
      </c>
      <c r="E99" s="27" t="s">
        <v>49</v>
      </c>
      <c r="F99" s="27" t="s">
        <v>49</v>
      </c>
      <c r="G99" s="27" t="s">
        <v>49</v>
      </c>
      <c r="H99" s="27" t="s">
        <v>49</v>
      </c>
      <c r="I99" s="27" t="s">
        <v>49</v>
      </c>
      <c r="J99" s="27" t="s">
        <v>49</v>
      </c>
      <c r="K99" s="27" t="s">
        <v>49</v>
      </c>
      <c r="L99" s="27" t="s">
        <v>49</v>
      </c>
      <c r="M99" s="27" t="s">
        <v>49</v>
      </c>
      <c r="N99" s="27" t="s">
        <v>49</v>
      </c>
    </row>
    <row r="100" spans="1:14" ht="39.950000000000003" customHeight="1" x14ac:dyDescent="0.25">
      <c r="A100" s="5" t="s">
        <v>200</v>
      </c>
      <c r="B100" s="6" t="s">
        <v>201</v>
      </c>
      <c r="C100" s="9">
        <v>1552410</v>
      </c>
      <c r="D100" s="9">
        <v>1863172.49</v>
      </c>
      <c r="E100" s="9">
        <v>1907677</v>
      </c>
      <c r="F100" s="9">
        <v>1847685.6</v>
      </c>
      <c r="G100" s="9">
        <v>1793782.85</v>
      </c>
      <c r="H100" s="9">
        <v>1688582.99</v>
      </c>
      <c r="I100" s="9">
        <v>1610559.07</v>
      </c>
      <c r="J100" s="9">
        <v>1297500</v>
      </c>
      <c r="K100" s="9">
        <v>1306679</v>
      </c>
      <c r="L100" s="9">
        <v>0</v>
      </c>
      <c r="M100" s="9">
        <v>0</v>
      </c>
      <c r="N100" s="9">
        <v>0</v>
      </c>
    </row>
    <row r="101" spans="1:14" ht="27" customHeight="1" x14ac:dyDescent="0.25">
      <c r="A101" s="5" t="s">
        <v>202</v>
      </c>
      <c r="B101" s="6" t="s">
        <v>203</v>
      </c>
      <c r="C101" s="9">
        <v>5162575.08</v>
      </c>
      <c r="D101" s="9">
        <v>4795914.47</v>
      </c>
      <c r="E101" s="9">
        <v>3935106.49</v>
      </c>
      <c r="F101" s="9">
        <v>4796196.3099999996</v>
      </c>
      <c r="G101" s="9">
        <v>2127731.08</v>
      </c>
      <c r="H101" s="9">
        <v>1816355.8</v>
      </c>
      <c r="I101" s="9">
        <v>1504980.52</v>
      </c>
      <c r="J101" s="9">
        <v>1193605.24</v>
      </c>
      <c r="K101" s="9">
        <v>882229.96</v>
      </c>
      <c r="L101" s="9">
        <v>570854.68000000005</v>
      </c>
      <c r="M101" s="9">
        <v>259479.4</v>
      </c>
      <c r="N101" s="9">
        <v>0</v>
      </c>
    </row>
    <row r="102" spans="1:14" ht="14.25" customHeight="1" x14ac:dyDescent="0.25">
      <c r="A102" s="5" t="s">
        <v>204</v>
      </c>
      <c r="B102" s="6" t="s">
        <v>205</v>
      </c>
      <c r="C102" s="9">
        <f>IF(ISNUMBER(VLOOKUP("14.3.1",A2:N116,3,FALSE)),VLOOKUP("14.3.1",A2:N116,3,FALSE),0) + IF(ISNUMBER(VLOOKUP("14.3.2",A2:N116,3,FALSE)),VLOOKUP("14.3.2",A2:N116,3,FALSE),0) + IF(ISNUMBER(VLOOKUP("14.3.3",A2:N116,3,FALSE)),VLOOKUP("14.3.3",A2:N116,3,FALSE),0)</f>
        <v>329995.19</v>
      </c>
      <c r="D102" s="9">
        <f>IF(ISNUMBER(VLOOKUP("14.3.1",A2:N116,4,FALSE)),VLOOKUP("14.3.1",A2:N116,4,FALSE),0) + IF(ISNUMBER(VLOOKUP("14.3.2",A2:N116,4,FALSE)),VLOOKUP("14.3.2",A2:N116,4,FALSE),0) + IF(ISNUMBER(VLOOKUP("14.3.3",A2:N116,4,FALSE)),VLOOKUP("14.3.3",A2:N116,4,FALSE),0)</f>
        <v>366660.61</v>
      </c>
      <c r="E102" s="9">
        <f>IF(ISNUMBER(VLOOKUP("14.3.1",A2:N116,5,FALSE)),VLOOKUP("14.3.1",A2:N116,5,FALSE),0) + IF(ISNUMBER(VLOOKUP("14.3.2",A2:N116,5,FALSE)),VLOOKUP("14.3.2",A2:N116,5,FALSE),0) + IF(ISNUMBER(VLOOKUP("14.3.3",A2:N116,5,FALSE)),VLOOKUP("14.3.3",A2:N116,5,FALSE),0)</f>
        <v>1094621.28</v>
      </c>
      <c r="F102" s="9">
        <f>IF(ISNUMBER(VLOOKUP("14.3.1",A2:N116,6,FALSE)),VLOOKUP("14.3.1",A2:N116,6,FALSE),0) + IF(ISNUMBER(VLOOKUP("14.3.2",A2:N116,6,FALSE)),VLOOKUP("14.3.2",A2:N116,6,FALSE),0) + IF(ISNUMBER(VLOOKUP("14.3.3",A2:N116,6,FALSE)),VLOOKUP("14.3.3",A2:N116,6,FALSE),0)</f>
        <v>233531.46</v>
      </c>
      <c r="G102" s="9">
        <f>IF(ISNUMBER(VLOOKUP("14.3.1",A2:N116,7,FALSE)),VLOOKUP("14.3.1",A2:N116,7,FALSE),0) + IF(ISNUMBER(VLOOKUP("14.3.2",A2:N116,7,FALSE)),VLOOKUP("14.3.2",A2:N116,7,FALSE),0) + IF(ISNUMBER(VLOOKUP("14.3.3",A2:N116,7,FALSE)),VLOOKUP("14.3.3",A2:N116,7,FALSE),0)</f>
        <v>2668465.2300000004</v>
      </c>
      <c r="H102" s="9">
        <f>IF(ISNUMBER(VLOOKUP("14.3.1",A2:N116,8,FALSE)),VLOOKUP("14.3.1",A2:N116,8,FALSE),0) + IF(ISNUMBER(VLOOKUP("14.3.2",A2:N116,8,FALSE)),VLOOKUP("14.3.2",A2:N116,8,FALSE),0) + IF(ISNUMBER(VLOOKUP("14.3.3",A2:N116,8,FALSE)),VLOOKUP("14.3.3",A2:N116,8,FALSE),0)</f>
        <v>311375.28000000003</v>
      </c>
      <c r="I102" s="9">
        <f>IF(ISNUMBER(VLOOKUP("14.3.1",A2:N116,9,FALSE)),VLOOKUP("14.3.1",A2:N116,9,FALSE),0) + IF(ISNUMBER(VLOOKUP("14.3.2",A2:N116,9,FALSE)),VLOOKUP("14.3.2",A2:N116,9,FALSE),0) + IF(ISNUMBER(VLOOKUP("14.3.3",A2:N116,9,FALSE)),VLOOKUP("14.3.3",A2:N116,9,FALSE),0)</f>
        <v>311375.28000000003</v>
      </c>
      <c r="J102" s="9">
        <f>IF(ISNUMBER(VLOOKUP("14.3.1",A2:N116,10,FALSE)),VLOOKUP("14.3.1",A2:N116,10,FALSE),0) + IF(ISNUMBER(VLOOKUP("14.3.2",A2:N116,10,FALSE)),VLOOKUP("14.3.2",A2:N116,10,FALSE),0) + IF(ISNUMBER(VLOOKUP("14.3.3",A2:N116,10,FALSE)),VLOOKUP("14.3.3",A2:N116,10,FALSE),0)</f>
        <v>311375.28000000003</v>
      </c>
      <c r="K102" s="9">
        <f>IF(ISNUMBER(VLOOKUP("14.3.1",A2:N116,11,FALSE)),VLOOKUP("14.3.1",A2:N116,11,FALSE),0) + IF(ISNUMBER(VLOOKUP("14.3.2",A2:N116,11,FALSE)),VLOOKUP("14.3.2",A2:N116,11,FALSE),0) + IF(ISNUMBER(VLOOKUP("14.3.3",A2:N116,11,FALSE)),VLOOKUP("14.3.3",A2:N116,11,FALSE),0)</f>
        <v>311375.28000000003</v>
      </c>
      <c r="L102" s="9">
        <f>IF(ISNUMBER(VLOOKUP("14.3.1",A2:N116,12,FALSE)),VLOOKUP("14.3.1",A2:N116,12,FALSE),0) + IF(ISNUMBER(VLOOKUP("14.3.2",A2:N116,12,FALSE)),VLOOKUP("14.3.2",A2:N116,12,FALSE),0) + IF(ISNUMBER(VLOOKUP("14.3.3",A2:N116,12,FALSE)),VLOOKUP("14.3.3",A2:N116,12,FALSE),0)</f>
        <v>311375.28000000003</v>
      </c>
      <c r="M102" s="9">
        <f>IF(ISNUMBER(VLOOKUP("14.3.1",A2:N116,13,FALSE)),VLOOKUP("14.3.1",A2:N116,13,FALSE),0) + IF(ISNUMBER(VLOOKUP("14.3.2",A2:N116,13,FALSE)),VLOOKUP("14.3.2",A2:N116,13,FALSE),0) + IF(ISNUMBER(VLOOKUP("14.3.3",A2:N116,13,FALSE)),VLOOKUP("14.3.3",A2:N116,13,FALSE),0)</f>
        <v>311375.28000000003</v>
      </c>
      <c r="N102" s="9">
        <f>IF(ISNUMBER(VLOOKUP("14.3.1",A2:N116,14,FALSE)),VLOOKUP("14.3.1",A2:N116,14,FALSE),0) + IF(ISNUMBER(VLOOKUP("14.3.2",A2:N116,14,FALSE)),VLOOKUP("14.3.2",A2:N116,14,FALSE),0) + IF(ISNUMBER(VLOOKUP("14.3.3",A2:N116,14,FALSE)),VLOOKUP("14.3.3",A2:N116,14,FALSE),0)</f>
        <v>259479.4</v>
      </c>
    </row>
    <row r="103" spans="1:14" ht="27" customHeight="1" x14ac:dyDescent="0.25">
      <c r="A103" s="5" t="s">
        <v>206</v>
      </c>
      <c r="B103" s="6" t="s">
        <v>207</v>
      </c>
      <c r="C103" s="9">
        <v>44467.85</v>
      </c>
      <c r="D103" s="9">
        <v>29337.39</v>
      </c>
      <c r="E103" s="9">
        <v>783246</v>
      </c>
      <c r="F103" s="9">
        <v>0</v>
      </c>
      <c r="G103" s="9">
        <v>2357089.9500000002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</row>
    <row r="104" spans="1:14" ht="27" customHeight="1" x14ac:dyDescent="0.25">
      <c r="A104" s="5" t="s">
        <v>208</v>
      </c>
      <c r="B104" s="6" t="s">
        <v>209</v>
      </c>
      <c r="C104" s="9">
        <v>285527.34000000003</v>
      </c>
      <c r="D104" s="9">
        <v>337323.22</v>
      </c>
      <c r="E104" s="9">
        <v>311375.28000000003</v>
      </c>
      <c r="F104" s="9">
        <v>233531.46</v>
      </c>
      <c r="G104" s="9">
        <v>311375.28000000003</v>
      </c>
      <c r="H104" s="9">
        <v>311375.28000000003</v>
      </c>
      <c r="I104" s="9">
        <v>311375.28000000003</v>
      </c>
      <c r="J104" s="9">
        <v>311375.28000000003</v>
      </c>
      <c r="K104" s="9">
        <v>311375.28000000003</v>
      </c>
      <c r="L104" s="9">
        <v>311375.28000000003</v>
      </c>
      <c r="M104" s="9">
        <v>311375.28000000003</v>
      </c>
      <c r="N104" s="9">
        <v>259479.4</v>
      </c>
    </row>
    <row r="105" spans="1:14" ht="14.25" customHeight="1" x14ac:dyDescent="0.25">
      <c r="A105" s="5" t="s">
        <v>210</v>
      </c>
      <c r="B105" s="6" t="s">
        <v>211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</row>
    <row r="106" spans="1:14" ht="27" customHeight="1" x14ac:dyDescent="0.25">
      <c r="A106" s="5" t="s">
        <v>212</v>
      </c>
      <c r="B106" s="6" t="s">
        <v>213</v>
      </c>
      <c r="C106" s="9">
        <v>0</v>
      </c>
      <c r="D106" s="9">
        <v>-22459.09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</row>
    <row r="107" spans="1:14" ht="14.25" customHeight="1" x14ac:dyDescent="0.25">
      <c r="A107" s="2" t="s">
        <v>214</v>
      </c>
      <c r="B107" s="3" t="s">
        <v>215</v>
      </c>
      <c r="C107" s="27" t="s">
        <v>49</v>
      </c>
      <c r="D107" s="27" t="s">
        <v>49</v>
      </c>
      <c r="E107" s="27" t="s">
        <v>49</v>
      </c>
      <c r="F107" s="27" t="s">
        <v>49</v>
      </c>
      <c r="G107" s="27" t="s">
        <v>49</v>
      </c>
      <c r="H107" s="27" t="s">
        <v>49</v>
      </c>
      <c r="I107" s="27" t="s">
        <v>49</v>
      </c>
      <c r="J107" s="27" t="s">
        <v>49</v>
      </c>
      <c r="K107" s="27" t="s">
        <v>49</v>
      </c>
      <c r="L107" s="27" t="s">
        <v>49</v>
      </c>
      <c r="M107" s="27" t="s">
        <v>49</v>
      </c>
      <c r="N107" s="27" t="s">
        <v>49</v>
      </c>
    </row>
    <row r="108" spans="1:14" ht="27" customHeight="1" x14ac:dyDescent="0.25">
      <c r="A108" s="5" t="s">
        <v>216</v>
      </c>
      <c r="B108" s="6" t="s">
        <v>217</v>
      </c>
      <c r="C108" s="7">
        <v>0</v>
      </c>
      <c r="D108" s="7">
        <v>0</v>
      </c>
      <c r="E108" s="7">
        <v>0</v>
      </c>
      <c r="F108" s="7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</row>
    <row r="109" spans="1:14" ht="14.25" customHeight="1" x14ac:dyDescent="0.25">
      <c r="A109" s="5" t="s">
        <v>218</v>
      </c>
      <c r="B109" s="6" t="s">
        <v>219</v>
      </c>
      <c r="C109" s="7">
        <v>0</v>
      </c>
      <c r="D109" s="7">
        <v>0</v>
      </c>
      <c r="E109" s="7">
        <v>0</v>
      </c>
      <c r="F109" s="7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</row>
    <row r="110" spans="1:14" ht="39.950000000000003" customHeight="1" x14ac:dyDescent="0.25">
      <c r="A110" s="5" t="s">
        <v>220</v>
      </c>
      <c r="B110" s="6" t="s">
        <v>221</v>
      </c>
      <c r="C110" s="7">
        <v>0</v>
      </c>
      <c r="D110" s="7">
        <v>0</v>
      </c>
      <c r="E110" s="7">
        <v>0</v>
      </c>
      <c r="F110" s="7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</row>
    <row r="111" spans="1:14" ht="27" customHeight="1" x14ac:dyDescent="0.25">
      <c r="A111" s="2" t="s">
        <v>222</v>
      </c>
      <c r="B111" s="3" t="s">
        <v>223</v>
      </c>
      <c r="C111" s="27" t="s">
        <v>49</v>
      </c>
      <c r="D111" s="27" t="s">
        <v>49</v>
      </c>
      <c r="E111" s="27" t="s">
        <v>49</v>
      </c>
      <c r="F111" s="27" t="s">
        <v>49</v>
      </c>
      <c r="G111" s="27" t="s">
        <v>49</v>
      </c>
      <c r="H111" s="27" t="s">
        <v>49</v>
      </c>
      <c r="I111" s="27" t="s">
        <v>49</v>
      </c>
      <c r="J111" s="27" t="s">
        <v>49</v>
      </c>
      <c r="K111" s="27" t="s">
        <v>49</v>
      </c>
      <c r="L111" s="27" t="s">
        <v>49</v>
      </c>
      <c r="M111" s="27" t="s">
        <v>49</v>
      </c>
      <c r="N111" s="27" t="s">
        <v>49</v>
      </c>
    </row>
    <row r="112" spans="1:14" ht="27" customHeight="1" x14ac:dyDescent="0.25">
      <c r="A112" s="5" t="s">
        <v>224</v>
      </c>
      <c r="B112" s="6" t="s">
        <v>225</v>
      </c>
      <c r="C112" s="7">
        <f>IF(ISNUMBER(VLOOKUP("1.1",A2:N116,3,FALSE)),VLOOKUP("1.1",A2:N116,3,FALSE),0) + IF(ISNUMBER(VLOOKUP("4.1",A2:N116,3,FALSE)),VLOOKUP("4.1",A2:N116,3,FALSE),0) + IF(ISNUMBER(VLOOKUP("4.2",A2:N116,3,FALSE)),VLOOKUP("4.2",A2:N116,3,FALSE),0) - (IF(ISNUMBER(VLOOKUP("2.1",A2:N116,3,FALSE)),VLOOKUP("2.1",A2:N116,3,FALSE),0) - IF(ISNUMBER(VLOOKUP("2.1.2",A2:N116,3,FALSE)),VLOOKUP("2.1.2",A2:N116,3,FALSE),0))</f>
        <v>3154187.3499999978</v>
      </c>
      <c r="D112" s="7">
        <f>IF(ISNUMBER(VLOOKUP("1.1",A2:N116,4,FALSE)),VLOOKUP("1.1",A2:N116,4,FALSE),0) + IF(ISNUMBER(VLOOKUP("4.1",A2:N116,4,FALSE)),VLOOKUP("4.1",A2:N116,4,FALSE),0) + IF(ISNUMBER(VLOOKUP("4.2",A2:N116,4,FALSE)),VLOOKUP("4.2",A2:N116,4,FALSE),0) - (IF(ISNUMBER(VLOOKUP("2.1",A2:N116,4,FALSE)),VLOOKUP("2.1",A2:N116,4,FALSE),0) - IF(ISNUMBER(VLOOKUP("2.1.2",A2:N116,4,FALSE)),VLOOKUP("2.1.2",A2:N116,4,FALSE),0))</f>
        <v>3371489.2600000016</v>
      </c>
      <c r="E112" s="7">
        <f>IF(ISNUMBER(VLOOKUP("1.1",A2:N116,5,FALSE)),VLOOKUP("1.1",A2:N116,5,FALSE),0) + IF(ISNUMBER(VLOOKUP("4.1",A2:N116,5,FALSE)),VLOOKUP("4.1",A2:N116,5,FALSE),0) + IF(ISNUMBER(VLOOKUP("4.2",A2:N116,5,FALSE)),VLOOKUP("4.2",A2:N116,5,FALSE),0) - (IF(ISNUMBER(VLOOKUP("2.1",A2:N116,5,FALSE)),VLOOKUP("2.1",A2:N116,5,FALSE),0) - IF(ISNUMBER(VLOOKUP("2.1.2",A2:N116,5,FALSE)),VLOOKUP("2.1.2",A2:N116,5,FALSE),0))</f>
        <v>3047784.9999999963</v>
      </c>
      <c r="F112" s="7">
        <f>IF(ISNUMBER(VLOOKUP("1.1",A2:N116,6,FALSE)),VLOOKUP("1.1",A2:N116,6,FALSE),0) + IF(ISNUMBER(VLOOKUP("4.1",A2:N116,6,FALSE)),VLOOKUP("4.1",A2:N116,6,FALSE),0) + IF(ISNUMBER(VLOOKUP("4.2",A2:N116,6,FALSE)),VLOOKUP("4.2",A2:N116,6,FALSE),0) - (IF(ISNUMBER(VLOOKUP("2.1",A2:N116,6,FALSE)),VLOOKUP("2.1",A2:N116,6,FALSE),0) - IF(ISNUMBER(VLOOKUP("2.1.2",A2:N116,6,FALSE)),VLOOKUP("2.1.2",A2:N116,6,FALSE),0))</f>
        <v>2891197.0899999961</v>
      </c>
      <c r="G112" s="8">
        <f>IF(ISNUMBER(VLOOKUP("1.1",A2:N116,7,FALSE)),VLOOKUP("1.1",A2:N116,7,FALSE),0) + IF(ISNUMBER(VLOOKUP("4.1",A2:N116,7,FALSE)),VLOOKUP("4.1",A2:N116,7,FALSE),0) + IF(ISNUMBER(VLOOKUP("4.2",A2:N116,7,FALSE)),VLOOKUP("4.2",A2:N116,7,FALSE),0) - (IF(ISNUMBER(VLOOKUP("2.1",A2:N116,7,FALSE)),VLOOKUP("2.1",A2:N116,7,FALSE),0) - IF(ISNUMBER(VLOOKUP("2.1.2",A2:N116,7,FALSE)),VLOOKUP("2.1.2",A2:N116,7,FALSE),0))</f>
        <v>-1793049.1499999985</v>
      </c>
      <c r="H112" s="8">
        <f>IF(ISNUMBER(VLOOKUP("1.1",A2:N116,8,FALSE)),VLOOKUP("1.1",A2:N116,8,FALSE),0) + IF(ISNUMBER(VLOOKUP("4.1",A2:N116,8,FALSE)),VLOOKUP("4.1",A2:N116,8,FALSE),0) + IF(ISNUMBER(VLOOKUP("4.2",A2:N116,8,FALSE)),VLOOKUP("4.2",A2:N116,8,FALSE),0) - (IF(ISNUMBER(VLOOKUP("2.1",A2:N116,8,FALSE)),VLOOKUP("2.1",A2:N116,8,FALSE),0) - IF(ISNUMBER(VLOOKUP("2.1.2",A2:N116,8,FALSE)),VLOOKUP("2.1.2",A2:N116,8,FALSE),0))</f>
        <v>3810178</v>
      </c>
      <c r="I112" s="8">
        <f>IF(ISNUMBER(VLOOKUP("1.1",A2:N116,9,FALSE)),VLOOKUP("1.1",A2:N116,9,FALSE),0) + IF(ISNUMBER(VLOOKUP("4.1",A2:N116,9,FALSE)),VLOOKUP("4.1",A2:N116,9,FALSE),0) + IF(ISNUMBER(VLOOKUP("4.2",A2:N116,9,FALSE)),VLOOKUP("4.2",A2:N116,9,FALSE),0) - (IF(ISNUMBER(VLOOKUP("2.1",A2:N116,9,FALSE)),VLOOKUP("2.1",A2:N116,9,FALSE),0) - IF(ISNUMBER(VLOOKUP("2.1.2",A2:N116,9,FALSE)),VLOOKUP("2.1.2",A2:N116,9,FALSE),0))</f>
        <v>4042637</v>
      </c>
      <c r="J112" s="8">
        <f>IF(ISNUMBER(VLOOKUP("1.1",A2:N116,10,FALSE)),VLOOKUP("1.1",A2:N116,10,FALSE),0) + IF(ISNUMBER(VLOOKUP("4.1",A2:N116,10,FALSE)),VLOOKUP("4.1",A2:N116,10,FALSE),0) + IF(ISNUMBER(VLOOKUP("4.2",A2:N116,10,FALSE)),VLOOKUP("4.2",A2:N116,10,FALSE),0) - (IF(ISNUMBER(VLOOKUP("2.1",A2:N116,10,FALSE)),VLOOKUP("2.1",A2:N116,10,FALSE),0) - IF(ISNUMBER(VLOOKUP("2.1.2",A2:N116,10,FALSE)),VLOOKUP("2.1.2",A2:N116,10,FALSE),0))</f>
        <v>4160518</v>
      </c>
      <c r="K112" s="8">
        <f>IF(ISNUMBER(VLOOKUP("1.1",A2:N116,11,FALSE)),VLOOKUP("1.1",A2:N116,11,FALSE),0) + IF(ISNUMBER(VLOOKUP("4.1",A2:N116,11,FALSE)),VLOOKUP("4.1",A2:N116,11,FALSE),0) + IF(ISNUMBER(VLOOKUP("4.2",A2:N116,11,FALSE)),VLOOKUP("4.2",A2:N116,11,FALSE),0) - (IF(ISNUMBER(VLOOKUP("2.1",A2:N116,11,FALSE)),VLOOKUP("2.1",A2:N116,11,FALSE),0) - IF(ISNUMBER(VLOOKUP("2.1.2",A2:N116,11,FALSE)),VLOOKUP("2.1.2",A2:N116,11,FALSE),0))</f>
        <v>4412969</v>
      </c>
      <c r="L112" s="8">
        <f>IF(ISNUMBER(VLOOKUP("1.1",A2:N116,12,FALSE)),VLOOKUP("1.1",A2:N116,12,FALSE),0) + IF(ISNUMBER(VLOOKUP("4.1",A2:N116,12,FALSE)),VLOOKUP("4.1",A2:N116,12,FALSE),0) + IF(ISNUMBER(VLOOKUP("4.2",A2:N116,12,FALSE)),VLOOKUP("4.2",A2:N116,12,FALSE),0) - (IF(ISNUMBER(VLOOKUP("2.1",A2:N116,12,FALSE)),VLOOKUP("2.1",A2:N116,12,FALSE),0) - IF(ISNUMBER(VLOOKUP("2.1.2",A2:N116,12,FALSE)),VLOOKUP("2.1.2",A2:N116,12,FALSE),0))</f>
        <v>4656939</v>
      </c>
      <c r="M112" s="8">
        <f>IF(ISNUMBER(VLOOKUP("1.1",A2:N116,13,FALSE)),VLOOKUP("1.1",A2:N116,13,FALSE),0) + IF(ISNUMBER(VLOOKUP("4.1",A2:N116,13,FALSE)),VLOOKUP("4.1",A2:N116,13,FALSE),0) + IF(ISNUMBER(VLOOKUP("4.2",A2:N116,13,FALSE)),VLOOKUP("4.2",A2:N116,13,FALSE),0) - (IF(ISNUMBER(VLOOKUP("2.1",A2:N116,13,FALSE)),VLOOKUP("2.1",A2:N116,13,FALSE),0) - IF(ISNUMBER(VLOOKUP("2.1.2",A2:N116,13,FALSE)),VLOOKUP("2.1.2",A2:N116,13,FALSE),0))</f>
        <v>4437216</v>
      </c>
      <c r="N112" s="8">
        <f>IF(ISNUMBER(VLOOKUP("1.1",A2:N116,14,FALSE)),VLOOKUP("1.1",A2:N116,14,FALSE),0) + IF(ISNUMBER(VLOOKUP("4.1",A2:N116,14,FALSE)),VLOOKUP("4.1",A2:N116,14,FALSE),0) + IF(ISNUMBER(VLOOKUP("4.2",A2:N116,14,FALSE)),VLOOKUP("4.2",A2:N116,14,FALSE),0) - (IF(ISNUMBER(VLOOKUP("2.1",A2:N116,14,FALSE)),VLOOKUP("2.1",A2:N116,14,FALSE),0) - IF(ISNUMBER(VLOOKUP("2.1.2",A2:N116,14,FALSE)),VLOOKUP("2.1.2",A2:N116,14,FALSE),0))</f>
        <v>4404706</v>
      </c>
    </row>
    <row r="113" spans="1:14" ht="27" customHeight="1" x14ac:dyDescent="0.25">
      <c r="A113" s="12" t="s">
        <v>226</v>
      </c>
      <c r="B113" s="13" t="s">
        <v>227</v>
      </c>
      <c r="C113" s="22">
        <f>IF(ISNUMBER(VLOOKUP("9.6",A2:N116,3,FALSE)),VLOOKUP("9.6",A2:N116,3,FALSE),0) - IF(ISNUMBER(VLOOKUP("9.4",A2:N116,3,FALSE)),VLOOKUP("9.4",A2:N116,3,FALSE),0)</f>
        <v>8.255672198111895E-2</v>
      </c>
      <c r="D113" s="22">
        <f>IF(ISNUMBER(VLOOKUP("9.6",A2:N116,4,FALSE)),VLOOKUP("9.6",A2:N116,4,FALSE),0) - IF(ISNUMBER(VLOOKUP("9.4",A2:N116,4,FALSE)),VLOOKUP("9.4",A2:N116,4,FALSE),0)</f>
        <v>7.6686774432844995E-2</v>
      </c>
      <c r="E113" s="22">
        <f>IF(ISNUMBER(VLOOKUP("9.6",A2:N116,5,FALSE)),VLOOKUP("9.6",A2:N116,5,FALSE),0) - IF(ISNUMBER(VLOOKUP("9.4",A2:N116,5,FALSE)),VLOOKUP("9.4",A2:N116,5,FALSE),0)</f>
        <v>7.9500604301353944E-2</v>
      </c>
      <c r="F113" s="22">
        <f>IF(ISNUMBER(VLOOKUP("9.6",A2:N116,6,FALSE)),VLOOKUP("9.6",A2:N116,6,FALSE),0) - IF(ISNUMBER(VLOOKUP("9.4",A2:N116,6,FALSE)),VLOOKUP("9.4",A2:N116,6,FALSE),0)</f>
        <v>8.0935273849129366E-2</v>
      </c>
      <c r="G113" s="23">
        <f>IF(ISNUMBER(VLOOKUP("9.6",A2:N116,7,FALSE)),VLOOKUP("9.6",A2:N116,7,FALSE),0) - IF(ISNUMBER(VLOOKUP("9.4",A2:N116,7,FALSE)),VLOOKUP("9.4",A2:N116,7,FALSE),0)</f>
        <v>5.0826867638167975E-2</v>
      </c>
      <c r="H113" s="23">
        <f>IF(ISNUMBER(VLOOKUP("9.6",A2:N116,8,FALSE)),VLOOKUP("9.6",A2:N116,8,FALSE),0) - IF(ISNUMBER(VLOOKUP("9.4",A2:N116,8,FALSE)),VLOOKUP("9.4",A2:N116,8,FALSE),0)</f>
        <v>-8.5514565631752276E-3</v>
      </c>
      <c r="I113" s="23">
        <f>IF(ISNUMBER(VLOOKUP("9.6",A2:N116,9,FALSE)),VLOOKUP("9.6",A2:N116,9,FALSE),0) - IF(ISNUMBER(VLOOKUP("9.4",A2:N116,9,FALSE)),VLOOKUP("9.4",A2:N116,9,FALSE),0)</f>
        <v>-5.3459952584106948E-3</v>
      </c>
      <c r="J113" s="23">
        <f>IF(ISNUMBER(VLOOKUP("9.6",A2:N116,10,FALSE)),VLOOKUP("9.6",A2:N116,10,FALSE),0) - IF(ISNUMBER(VLOOKUP("9.4",A2:N116,10,FALSE)),VLOOKUP("9.4",A2:N116,10,FALSE),0)</f>
        <v>-3.4104756913220513E-3</v>
      </c>
      <c r="K113" s="23">
        <f>IF(ISNUMBER(VLOOKUP("9.6",A2:N116,11,FALSE)),VLOOKUP("9.6",A2:N116,11,FALSE),0) - IF(ISNUMBER(VLOOKUP("9.4",A2:N116,11,FALSE)),VLOOKUP("9.4",A2:N116,11,FALSE),0)</f>
        <v>5.0063296554777752E-2</v>
      </c>
      <c r="L113" s="23">
        <f>IF(ISNUMBER(VLOOKUP("9.6",A2:N116,12,FALSE)),VLOOKUP("9.6",A2:N116,12,FALSE),0) - IF(ISNUMBER(VLOOKUP("9.4",A2:N116,12,FALSE)),VLOOKUP("9.4",A2:N116,12,FALSE),0)</f>
        <v>8.228142840136983E-2</v>
      </c>
      <c r="M113" s="23">
        <f>IF(ISNUMBER(VLOOKUP("9.6",A2:N116,13,FALSE)),VLOOKUP("9.6",A2:N116,13,FALSE),0) - IF(ISNUMBER(VLOOKUP("9.4",A2:N116,13,FALSE)),VLOOKUP("9.4",A2:N116,13,FALSE),0)</f>
        <v>8.719815717324346E-2</v>
      </c>
      <c r="N113" s="23">
        <f>IF(ISNUMBER(VLOOKUP("9.6",A2:N116,14,FALSE)),VLOOKUP("9.6",A2:N116,14,FALSE),0) - IF(ISNUMBER(VLOOKUP("9.4",A2:N116,14,FALSE)),VLOOKUP("9.4",A2:N116,14,FALSE),0)</f>
        <v>8.3590429233064228E-2</v>
      </c>
    </row>
    <row r="114" spans="1:14" ht="27" customHeight="1" x14ac:dyDescent="0.25">
      <c r="A114" s="12" t="s">
        <v>228</v>
      </c>
      <c r="B114" s="13" t="s">
        <v>229</v>
      </c>
      <c r="C114" s="22">
        <f>IF(ISNUMBER(VLOOKUP("9.6.1",A2:N116,3,FALSE)),VLOOKUP("9.6.1",A2:N116,3,FALSE),0) - IF(ISNUMBER(VLOOKUP("9.4",A2:N116,3,FALSE)),VLOOKUP("9.4",A2:N116,3,FALSE),0)</f>
        <v>8.255672198111895E-2</v>
      </c>
      <c r="D114" s="22">
        <f>IF(ISNUMBER(VLOOKUP("9.6.1",A2:N116,4,FALSE)),VLOOKUP("9.6.1",A2:N116,4,FALSE),0) - IF(ISNUMBER(VLOOKUP("9.4",A2:N116,4,FALSE)),VLOOKUP("9.4",A2:N116,4,FALSE),0)</f>
        <v>7.6686774432844995E-2</v>
      </c>
      <c r="E114" s="22">
        <f>IF(ISNUMBER(VLOOKUP("9.6.1",A2:N116,5,FALSE)),VLOOKUP("9.6.1",A2:N116,5,FALSE),0) - IF(ISNUMBER(VLOOKUP("9.4",A2:N116,5,FALSE)),VLOOKUP("9.4",A2:N116,5,FALSE),0)</f>
        <v>7.9500604301353944E-2</v>
      </c>
      <c r="F114" s="22">
        <f>IF(ISNUMBER(VLOOKUP("9.6.1",A2:N116,6,FALSE)),VLOOKUP("9.6.1",A2:N116,6,FALSE),0) - IF(ISNUMBER(VLOOKUP("9.4",A2:N116,6,FALSE)),VLOOKUP("9.4",A2:N116,6,FALSE),0)</f>
        <v>8.0935273849129366E-2</v>
      </c>
      <c r="G114" s="23">
        <f>IF(ISNUMBER(VLOOKUP("9.6.1",A2:N116,7,FALSE)),VLOOKUP("9.6.1",A2:N116,7,FALSE),0) - IF(ISNUMBER(VLOOKUP("9.4",A2:N116,7,FALSE)),VLOOKUP("9.4",A2:N116,7,FALSE),0)</f>
        <v>4.8149334000469279E-2</v>
      </c>
      <c r="H114" s="23">
        <f>IF(ISNUMBER(VLOOKUP("9.6.1",A2:N116,8,FALSE)),VLOOKUP("9.6.1",A2:N116,8,FALSE),0) - IF(ISNUMBER(VLOOKUP("9.4",A2:N116,8,FALSE)),VLOOKUP("9.4",A2:N116,8,FALSE),0)</f>
        <v>-1.122899020087393E-2</v>
      </c>
      <c r="I114" s="23">
        <f>IF(ISNUMBER(VLOOKUP("9.6.1",A2:N116,9,FALSE)),VLOOKUP("9.6.1",A2:N116,9,FALSE),0) - IF(ISNUMBER(VLOOKUP("9.4",A2:N116,9,FALSE)),VLOOKUP("9.4",A2:N116,9,FALSE),0)</f>
        <v>-8.023528896109397E-3</v>
      </c>
      <c r="J114" s="23">
        <f>IF(ISNUMBER(VLOOKUP("9.6.1",A2:N116,10,FALSE)),VLOOKUP("9.6.1",A2:N116,10,FALSE),0) - IF(ISNUMBER(VLOOKUP("9.4",A2:N116,10,FALSE)),VLOOKUP("9.4",A2:N116,10,FALSE),0)</f>
        <v>-3.4104756913220513E-3</v>
      </c>
      <c r="K114" s="23">
        <f>IF(ISNUMBER(VLOOKUP("9.6.1",A2:N116,11,FALSE)),VLOOKUP("9.6.1",A2:N116,11,FALSE),0) - IF(ISNUMBER(VLOOKUP("9.4",A2:N116,11,FALSE)),VLOOKUP("9.4",A2:N116,11,FALSE),0)</f>
        <v>5.0063296554777752E-2</v>
      </c>
      <c r="L114" s="23">
        <f>IF(ISNUMBER(VLOOKUP("9.6.1",A2:N116,12,FALSE)),VLOOKUP("9.6.1",A2:N116,12,FALSE),0) - IF(ISNUMBER(VLOOKUP("9.4",A2:N116,12,FALSE)),VLOOKUP("9.4",A2:N116,12,FALSE),0)</f>
        <v>8.228142840136983E-2</v>
      </c>
      <c r="M114" s="23">
        <f>IF(ISNUMBER(VLOOKUP("9.6.1",A2:N116,13,FALSE)),VLOOKUP("9.6.1",A2:N116,13,FALSE),0) - IF(ISNUMBER(VLOOKUP("9.4",A2:N116,13,FALSE)),VLOOKUP("9.4",A2:N116,13,FALSE),0)</f>
        <v>8.719815717324346E-2</v>
      </c>
      <c r="N114" s="23">
        <f>IF(ISNUMBER(VLOOKUP("9.6.1",A2:N116,14,FALSE)),VLOOKUP("9.6.1",A2:N116,14,FALSE),0) - IF(ISNUMBER(VLOOKUP("9.4",A2:N116,14,FALSE)),VLOOKUP("9.4",A2:N116,14,FALSE),0)</f>
        <v>8.3590429233064228E-2</v>
      </c>
    </row>
    <row r="115" spans="1:14" x14ac:dyDescent="0.25">
      <c r="A115" s="24" t="s">
        <v>230</v>
      </c>
      <c r="B115" s="25" t="s">
        <v>231</v>
      </c>
      <c r="C115" s="26">
        <f>IF(ISNUMBER(VLOOKUP("3",A2:N116,3,FALSE)),VLOOKUP("3",A2:N116,3,FALSE),0) + IF(ISNUMBER(VLOOKUP("4",A2:N116,3,FALSE)),VLOOKUP("4",A2:N116,3,FALSE),0) - IF(ISNUMBER(VLOOKUP("5",A2:N116,3,FALSE)),VLOOKUP("5",A2:N116,3,FALSE),0)</f>
        <v>237180.41999999806</v>
      </c>
      <c r="D115" s="26">
        <f>IF(ISNUMBER(VLOOKUP("3",A2:N116,4,FALSE)),VLOOKUP("3",A2:N116,4,FALSE),0) + IF(ISNUMBER(VLOOKUP("4",A2:N116,4,FALSE)),VLOOKUP("4",A2:N116,4,FALSE),0) - IF(ISNUMBER(VLOOKUP("5",A2:N116,4,FALSE)),VLOOKUP("5",A2:N116,4,FALSE),0)</f>
        <v>66031.96000000299</v>
      </c>
      <c r="E115" s="26">
        <f>IF(ISNUMBER(VLOOKUP("3",A2:N116,5,FALSE)),VLOOKUP("3",A2:N116,5,FALSE),0) + IF(ISNUMBER(VLOOKUP("4",A2:N116,5,FALSE)),VLOOKUP("4",A2:N116,5,FALSE),0) - IF(ISNUMBER(VLOOKUP("5",A2:N116,5,FALSE)),VLOOKUP("5",A2:N116,5,FALSE),0)</f>
        <v>-7.4505805969238281E-9</v>
      </c>
      <c r="F115" s="26">
        <f>IF(ISNUMBER(VLOOKUP("3",A2:N116,6,FALSE)),VLOOKUP("3",A2:N116,6,FALSE),0) + IF(ISNUMBER(VLOOKUP("4",A2:N116,6,FALSE)),VLOOKUP("4",A2:N116,6,FALSE),0) - IF(ISNUMBER(VLOOKUP("5",A2:N116,6,FALSE)),VLOOKUP("5",A2:N116,6,FALSE),0)</f>
        <v>342648.06999999797</v>
      </c>
      <c r="G115" s="26">
        <f>IF(ISNUMBER(VLOOKUP("3",A2:N116,7,FALSE)),VLOOKUP("3",A2:N116,7,FALSE),0) + IF(ISNUMBER(VLOOKUP("4",A2:N116,7,FALSE)),VLOOKUP("4",A2:N116,7,FALSE),0) - IF(ISNUMBER(VLOOKUP("5",A2:N116,7,FALSE)),VLOOKUP("5",A2:N116,7,FALSE),0)</f>
        <v>0</v>
      </c>
      <c r="H115" s="26">
        <f>IF(ISNUMBER(VLOOKUP("3",A2:N116,8,FALSE)),VLOOKUP("3",A2:N116,8,FALSE),0) + IF(ISNUMBER(VLOOKUP("4",A2:N116,8,FALSE)),VLOOKUP("4",A2:N116,8,FALSE),0) - IF(ISNUMBER(VLOOKUP("5",A2:N116,8,FALSE)),VLOOKUP("5",A2:N116,8,FALSE),0)</f>
        <v>2.0954757928848267E-9</v>
      </c>
      <c r="I115" s="26">
        <f>IF(ISNUMBER(VLOOKUP("3",A2:N116,9,FALSE)),VLOOKUP("3",A2:N116,9,FALSE),0) + IF(ISNUMBER(VLOOKUP("4",A2:N116,9,FALSE)),VLOOKUP("4",A2:N116,9,FALSE),0) - IF(ISNUMBER(VLOOKUP("5",A2:N116,9,FALSE)),VLOOKUP("5",A2:N116,9,FALSE),0)</f>
        <v>0</v>
      </c>
      <c r="J115" s="26">
        <f>IF(ISNUMBER(VLOOKUP("3",A2:N116,10,FALSE)),VLOOKUP("3",A2:N116,10,FALSE),0) + IF(ISNUMBER(VLOOKUP("4",A2:N116,10,FALSE)),VLOOKUP("4",A2:N116,10,FALSE),0) - IF(ISNUMBER(VLOOKUP("5",A2:N116,10,FALSE)),VLOOKUP("5",A2:N116,10,FALSE),0)</f>
        <v>0</v>
      </c>
      <c r="K115" s="26">
        <f>IF(ISNUMBER(VLOOKUP("3",A2:N116,11,FALSE)),VLOOKUP("3",A2:N116,11,FALSE),0) + IF(ISNUMBER(VLOOKUP("4",A2:N116,11,FALSE)),VLOOKUP("4",A2:N116,11,FALSE),0) - IF(ISNUMBER(VLOOKUP("5",A2:N116,11,FALSE)),VLOOKUP("5",A2:N116,11,FALSE),0)</f>
        <v>0</v>
      </c>
      <c r="L115" s="26">
        <f>IF(ISNUMBER(VLOOKUP("3",A2:N116,12,FALSE)),VLOOKUP("3",A2:N116,12,FALSE),0) + IF(ISNUMBER(VLOOKUP("4",A2:N116,12,FALSE)),VLOOKUP("4",A2:N116,12,FALSE),0) - IF(ISNUMBER(VLOOKUP("5",A2:N116,12,FALSE)),VLOOKUP("5",A2:N116,12,FALSE),0)</f>
        <v>0</v>
      </c>
      <c r="M115" s="26">
        <f>IF(ISNUMBER(VLOOKUP("3",A2:N116,13,FALSE)),VLOOKUP("3",A2:N116,13,FALSE),0) + IF(ISNUMBER(VLOOKUP("4",A2:N116,13,FALSE)),VLOOKUP("4",A2:N116,13,FALSE),0) - IF(ISNUMBER(VLOOKUP("5",A2:N116,13,FALSE)),VLOOKUP("5",A2:N116,13,FALSE),0)</f>
        <v>0</v>
      </c>
      <c r="N115" s="26">
        <f>IF(ISNUMBER(VLOOKUP("3",A2:N116,14,FALSE)),VLOOKUP("3",A2:N116,14,FALSE),0) + IF(ISNUMBER(VLOOKUP("4",A2:N116,14,FALSE)),VLOOKUP("4",A2:N116,14,FALSE),0) - IF(ISNUMBER(VLOOKUP("5",A2:N116,14,FALSE)),VLOOKUP("5",A2:N116,14,FALSE),0)</f>
        <v>0</v>
      </c>
    </row>
  </sheetData>
  <mergeCells count="8">
    <mergeCell ref="C99:N99"/>
    <mergeCell ref="C107:N107"/>
    <mergeCell ref="C111:N111"/>
    <mergeCell ref="C45:N45"/>
    <mergeCell ref="C48:N48"/>
    <mergeCell ref="C60:N60"/>
    <mergeCell ref="C70:N70"/>
    <mergeCell ref="C91:N91"/>
  </mergeCells>
  <conditionalFormatting sqref="B56:N56">
    <cfRule type="beginsWith" dxfId="7" priority="1" operator="beginsWith" text="Tak">
      <formula>LEFT(B56,LEN("Tak"))="Tak"</formula>
    </cfRule>
    <cfRule type="beginsWith" dxfId="6" priority="2" operator="beginsWith" text="Nie">
      <formula>LEFT(B56,LEN("Nie"))="Nie"</formula>
    </cfRule>
  </conditionalFormatting>
  <conditionalFormatting sqref="B57:N57">
    <cfRule type="beginsWith" dxfId="5" priority="3" operator="beginsWith" text="Tak">
      <formula>LEFT(B57,LEN("Tak"))="Tak"</formula>
    </cfRule>
    <cfRule type="beginsWith" dxfId="4" priority="4" operator="beginsWith" text="Nie">
      <formula>LEFT(B57,LEN("Nie"))="Nie"</formula>
    </cfRule>
  </conditionalFormatting>
  <conditionalFormatting sqref="B58:N58">
    <cfRule type="beginsWith" dxfId="3" priority="5" operator="beginsWith" text="Tak">
      <formula>LEFT(B58,LEN("Tak"))="Tak"</formula>
    </cfRule>
    <cfRule type="beginsWith" dxfId="2" priority="6" operator="beginsWith" text="Nie">
      <formula>LEFT(B58,LEN("Nie"))="Nie"</formula>
    </cfRule>
  </conditionalFormatting>
  <conditionalFormatting sqref="B59:N59">
    <cfRule type="beginsWith" dxfId="1" priority="7" operator="beginsWith" text="Tak">
      <formula>LEFT(B59,LEN("Tak"))="Tak"</formula>
    </cfRule>
    <cfRule type="beginsWith" dxfId="0" priority="8" operator="beginsWith" text="Nie">
      <formula>LEFT(B59,LEN("Nie"))="Nie"</formula>
    </cfRule>
  </conditionalFormatting>
  <pageMargins left="0.7" right="0.7" top="0.75" bottom="0.75" header="0.3" footer="0.3"/>
  <pageSetup paperSize="8" scale="85" fitToWidth="0" orientation="landscape" r:id="rId1"/>
  <headerFooter>
    <oddHeader>&amp;R&amp;9Załącznik nr 1 do uchwały Nr XXIV/240 /18
Rady Miejskiej w Maszewie 
z dnia 17.10.2018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Wieloletnia prognoza finansowa</dc:title>
  <dc:subject>WPF Asystent - Załącznik 1</dc:subject>
  <dc:creator>http://www.curulis.pl</dc:creator>
  <cp:keywords>wpf, curulis, wieloletnia prognoza finansowa, wpf asystent</cp:keywords>
  <cp:lastModifiedBy>Monika Ostapczuk</cp:lastModifiedBy>
  <cp:lastPrinted>2018-10-19T10:20:21Z</cp:lastPrinted>
  <dcterms:created xsi:type="dcterms:W3CDTF">2018-10-08T12:31:51Z</dcterms:created>
  <dcterms:modified xsi:type="dcterms:W3CDTF">2018-10-19T10:58:39Z</dcterms:modified>
</cp:coreProperties>
</file>